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printerSettings/printerSettings2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BuÇalışmaKitabı" autoCompressPictures="0"/>
  <mc:AlternateContent xmlns:mc="http://schemas.openxmlformats.org/markup-compatibility/2006">
    <mc:Choice Requires="x15">
      <x15ac:absPath xmlns:x15ac="http://schemas.microsoft.com/office/spreadsheetml/2010/11/ac" url="C:\Users\NehirBera\Desktop\Baskent_Website\Program\2019-2020\Eng\"/>
    </mc:Choice>
  </mc:AlternateContent>
  <bookViews>
    <workbookView xWindow="0" yWindow="0" windowWidth="20490" windowHeight="7185" tabRatio="459" firstSheet="1" activeTab="2"/>
  </bookViews>
  <sheets>
    <sheet name="DV-IDENTITY-0" sheetId="4" state="veryHidden" r:id="rId1"/>
    <sheet name="ZORUNLU" sheetId="1" r:id="rId2"/>
    <sheet name="SEÇMELİ" sheetId="5" r:id="rId3"/>
  </sheets>
  <definedNames>
    <definedName name="_GoBack" localSheetId="2">SEÇMELİ!#REF!</definedName>
    <definedName name="_xlnm.Print_Area" localSheetId="2">SEÇMELİ!$B$3:$H$50</definedName>
    <definedName name="_xlnm.Print_Area" localSheetId="1">ZORUNLU!$B$2:$N$65</definedName>
  </definedNames>
  <calcPr calcId="162913"/>
</workbook>
</file>

<file path=xl/calcChain.xml><?xml version="1.0" encoding="utf-8"?>
<calcChain xmlns="http://schemas.openxmlformats.org/spreadsheetml/2006/main">
  <c r="L44" i="1" l="1"/>
  <c r="M44" i="1"/>
  <c r="A1" i="4"/>
  <c r="B1" i="4"/>
  <c r="C1" i="4"/>
  <c r="D1" i="4"/>
  <c r="E1" i="4"/>
  <c r="F1" i="4"/>
  <c r="G1" i="4"/>
  <c r="H1" i="4"/>
  <c r="I1" i="4"/>
  <c r="J1" i="4"/>
  <c r="K1" i="4"/>
  <c r="L1" i="4"/>
  <c r="M1" i="4"/>
  <c r="N1" i="4"/>
  <c r="O1" i="4"/>
  <c r="P1" i="4"/>
  <c r="Q1" i="4"/>
  <c r="R1" i="4"/>
  <c r="S1" i="4"/>
  <c r="T1" i="4"/>
  <c r="U1" i="4"/>
  <c r="V1" i="4"/>
  <c r="W1" i="4"/>
  <c r="X1" i="4"/>
  <c r="Y1" i="4"/>
  <c r="Z1" i="4"/>
  <c r="AA1" i="4"/>
  <c r="AB1" i="4"/>
  <c r="AC1" i="4"/>
  <c r="AD1" i="4"/>
  <c r="AE1" i="4"/>
  <c r="AF1" i="4"/>
  <c r="AG1" i="4"/>
  <c r="AH1" i="4"/>
  <c r="AI1" i="4"/>
  <c r="AJ1" i="4"/>
  <c r="AK1" i="4"/>
  <c r="AL1" i="4"/>
  <c r="AM1" i="4"/>
  <c r="AN1" i="4"/>
  <c r="AO1" i="4"/>
  <c r="AP1" i="4"/>
  <c r="AQ1" i="4"/>
  <c r="AR1" i="4"/>
  <c r="AS1" i="4"/>
  <c r="AT1" i="4"/>
  <c r="AU1" i="4"/>
  <c r="AV1" i="4"/>
  <c r="AW1" i="4"/>
  <c r="AX1" i="4"/>
  <c r="AY1" i="4"/>
  <c r="AZ1" i="4"/>
  <c r="BA1" i="4"/>
  <c r="BB1" i="4"/>
  <c r="BC1" i="4"/>
  <c r="BD1" i="4"/>
  <c r="BE1" i="4"/>
  <c r="BF1" i="4"/>
  <c r="BG1" i="4"/>
  <c r="BH1" i="4"/>
  <c r="BI1" i="4"/>
  <c r="BJ1" i="4"/>
  <c r="BK1" i="4"/>
  <c r="BL1" i="4"/>
  <c r="BM1" i="4"/>
  <c r="BN1" i="4"/>
  <c r="BO1" i="4"/>
  <c r="BP1" i="4"/>
  <c r="BQ1" i="4"/>
  <c r="BR1" i="4"/>
  <c r="BS1" i="4"/>
  <c r="BT1" i="4"/>
  <c r="BU1" i="4"/>
  <c r="BV1" i="4"/>
  <c r="BW1" i="4"/>
  <c r="BX1" i="4"/>
  <c r="BY1" i="4"/>
  <c r="BZ1" i="4"/>
  <c r="CA1" i="4"/>
  <c r="CB1" i="4"/>
  <c r="CC1" i="4"/>
  <c r="CD1" i="4"/>
  <c r="CE1" i="4"/>
  <c r="CF1" i="4"/>
  <c r="CG1" i="4"/>
  <c r="CH1" i="4"/>
  <c r="CI1" i="4"/>
  <c r="CJ1" i="4"/>
  <c r="CK1" i="4"/>
  <c r="CL1" i="4"/>
  <c r="CM1" i="4"/>
  <c r="CN1" i="4"/>
  <c r="CO1" i="4"/>
  <c r="CP1" i="4"/>
  <c r="CQ1" i="4"/>
  <c r="CR1" i="4"/>
  <c r="CS1" i="4"/>
  <c r="CT1" i="4"/>
  <c r="CU1" i="4"/>
  <c r="CV1" i="4"/>
  <c r="CW1" i="4"/>
  <c r="CX1" i="4"/>
  <c r="CY1" i="4"/>
  <c r="CZ1" i="4"/>
  <c r="DA1" i="4"/>
  <c r="DB1" i="4"/>
  <c r="DC1" i="4"/>
  <c r="DD1" i="4"/>
  <c r="DE1" i="4"/>
  <c r="DF1" i="4"/>
  <c r="DG1" i="4"/>
  <c r="DH1" i="4"/>
  <c r="DI1" i="4"/>
  <c r="DJ1" i="4"/>
  <c r="DK1" i="4"/>
  <c r="DL1" i="4"/>
  <c r="DM1" i="4"/>
  <c r="DN1" i="4"/>
  <c r="DO1" i="4"/>
  <c r="DP1" i="4"/>
  <c r="DQ1" i="4"/>
  <c r="DR1" i="4"/>
  <c r="DS1" i="4"/>
  <c r="DT1" i="4"/>
  <c r="DU1" i="4"/>
  <c r="DV1" i="4"/>
  <c r="DW1" i="4"/>
  <c r="DX1" i="4"/>
  <c r="DY1" i="4"/>
  <c r="DZ1" i="4"/>
  <c r="EA1" i="4"/>
  <c r="EB1" i="4"/>
  <c r="EC1" i="4"/>
  <c r="ED1" i="4"/>
  <c r="EE1" i="4"/>
  <c r="EF1" i="4"/>
  <c r="EG1" i="4"/>
  <c r="EH1" i="4"/>
  <c r="EI1" i="4"/>
  <c r="EJ1" i="4"/>
  <c r="EK1" i="4"/>
  <c r="EL1" i="4"/>
  <c r="EM1" i="4"/>
  <c r="EN1" i="4"/>
  <c r="EO1" i="4"/>
  <c r="EP1" i="4"/>
  <c r="EQ1" i="4"/>
  <c r="ER1" i="4"/>
  <c r="ES1" i="4"/>
  <c r="ET1" i="4"/>
  <c r="EU1" i="4"/>
  <c r="EV1" i="4"/>
  <c r="EW1" i="4"/>
  <c r="EX1" i="4"/>
  <c r="EY1" i="4"/>
  <c r="EZ1" i="4"/>
  <c r="FA1" i="4"/>
  <c r="FB1" i="4"/>
  <c r="FC1" i="4"/>
  <c r="FD1" i="4"/>
  <c r="FE1" i="4"/>
  <c r="FF1" i="4"/>
  <c r="FG1" i="4"/>
  <c r="FH1" i="4"/>
  <c r="FI1" i="4"/>
  <c r="FJ1" i="4"/>
  <c r="FK1" i="4"/>
  <c r="FL1" i="4"/>
  <c r="FM1" i="4"/>
  <c r="FN1" i="4"/>
  <c r="FO1" i="4"/>
  <c r="FP1" i="4"/>
  <c r="FQ1" i="4"/>
  <c r="FR1" i="4"/>
  <c r="FS1" i="4"/>
  <c r="FT1" i="4"/>
  <c r="FU1" i="4"/>
  <c r="FV1" i="4"/>
  <c r="FW1" i="4"/>
  <c r="FX1" i="4"/>
  <c r="FY1" i="4"/>
  <c r="FZ1" i="4"/>
  <c r="GA1" i="4"/>
  <c r="GB1" i="4"/>
  <c r="GC1" i="4"/>
  <c r="GD1" i="4"/>
  <c r="GE1" i="4"/>
  <c r="GF1" i="4"/>
  <c r="GG1" i="4"/>
  <c r="GH1" i="4"/>
  <c r="GI1" i="4"/>
  <c r="GJ1" i="4"/>
  <c r="GK1" i="4"/>
  <c r="GL1" i="4"/>
  <c r="GM1" i="4"/>
  <c r="GN1" i="4"/>
  <c r="GO1" i="4"/>
  <c r="GP1" i="4"/>
  <c r="GQ1" i="4"/>
  <c r="GR1" i="4"/>
  <c r="GS1" i="4"/>
  <c r="GT1" i="4"/>
  <c r="GU1" i="4"/>
  <c r="GV1" i="4"/>
  <c r="GW1" i="4"/>
  <c r="GX1" i="4"/>
  <c r="GY1" i="4"/>
  <c r="GZ1" i="4"/>
  <c r="HA1" i="4"/>
  <c r="HB1" i="4"/>
  <c r="HC1" i="4"/>
  <c r="HD1" i="4"/>
  <c r="HE1" i="4"/>
  <c r="HF1" i="4"/>
  <c r="HG1" i="4"/>
  <c r="HH1" i="4"/>
  <c r="HI1" i="4"/>
  <c r="HJ1" i="4"/>
  <c r="HK1" i="4"/>
  <c r="HL1" i="4"/>
  <c r="HM1" i="4"/>
  <c r="HN1" i="4"/>
  <c r="HO1" i="4"/>
  <c r="HP1" i="4"/>
  <c r="HQ1" i="4"/>
  <c r="HR1" i="4"/>
  <c r="HS1" i="4"/>
  <c r="HT1" i="4"/>
  <c r="HU1" i="4"/>
  <c r="HV1" i="4"/>
  <c r="HW1" i="4"/>
  <c r="HX1" i="4"/>
  <c r="HY1" i="4"/>
  <c r="HZ1" i="4"/>
  <c r="IA1" i="4"/>
  <c r="IB1" i="4"/>
  <c r="IC1" i="4"/>
  <c r="ID1" i="4"/>
  <c r="IE1" i="4"/>
  <c r="IF1" i="4"/>
  <c r="IG1" i="4"/>
  <c r="IH1" i="4"/>
  <c r="II1" i="4"/>
  <c r="IJ1" i="4"/>
  <c r="IK1" i="4"/>
  <c r="IL1" i="4"/>
  <c r="IM1" i="4"/>
  <c r="IN1" i="4"/>
  <c r="IO1" i="4"/>
  <c r="IP1" i="4"/>
  <c r="IQ1" i="4"/>
  <c r="IR1" i="4"/>
  <c r="IS1" i="4"/>
  <c r="IT1" i="4"/>
  <c r="IU1" i="4"/>
  <c r="IV1" i="4"/>
  <c r="A2" i="4"/>
  <c r="B2" i="4"/>
  <c r="C2" i="4"/>
  <c r="D2" i="4"/>
  <c r="E2" i="4"/>
  <c r="F2" i="4"/>
  <c r="G2" i="4"/>
  <c r="H2" i="4"/>
  <c r="I2" i="4"/>
  <c r="J2" i="4"/>
  <c r="K2" i="4"/>
  <c r="L2" i="4"/>
  <c r="M2" i="4"/>
  <c r="N2" i="4"/>
  <c r="O2" i="4"/>
  <c r="P2" i="4"/>
  <c r="Q2" i="4"/>
  <c r="R2" i="4"/>
  <c r="S2" i="4"/>
  <c r="T2" i="4"/>
  <c r="U2" i="4"/>
  <c r="V2" i="4"/>
  <c r="W2" i="4"/>
  <c r="X2" i="4"/>
  <c r="Y2" i="4"/>
  <c r="Z2" i="4"/>
  <c r="AA2" i="4"/>
  <c r="AB2" i="4"/>
  <c r="AC2" i="4"/>
  <c r="AD2" i="4"/>
  <c r="AE2" i="4"/>
  <c r="AF2" i="4"/>
  <c r="AG2" i="4"/>
  <c r="AH2" i="4"/>
  <c r="AI2" i="4"/>
  <c r="AJ2" i="4"/>
  <c r="AK2" i="4"/>
  <c r="AL2" i="4"/>
  <c r="AM2" i="4"/>
  <c r="AN2" i="4"/>
  <c r="AO2" i="4"/>
  <c r="AP2" i="4"/>
  <c r="AQ2" i="4"/>
  <c r="AR2" i="4"/>
  <c r="AS2" i="4"/>
  <c r="AT2" i="4"/>
  <c r="AU2" i="4"/>
  <c r="AV2" i="4"/>
  <c r="AW2" i="4"/>
  <c r="AX2" i="4"/>
  <c r="AY2" i="4"/>
  <c r="AZ2" i="4"/>
  <c r="BA2" i="4"/>
  <c r="BB2" i="4"/>
  <c r="BC2" i="4"/>
  <c r="BD2" i="4"/>
  <c r="BE2" i="4"/>
  <c r="BF2" i="4"/>
  <c r="BG2" i="4"/>
  <c r="BH2" i="4"/>
  <c r="BI2" i="4"/>
  <c r="BJ2" i="4"/>
  <c r="BK2" i="4"/>
  <c r="BL2" i="4"/>
  <c r="BM2" i="4"/>
  <c r="BN2" i="4"/>
  <c r="BO2" i="4"/>
  <c r="BP2" i="4"/>
  <c r="BQ2" i="4"/>
  <c r="BR2" i="4"/>
  <c r="BS2" i="4"/>
  <c r="BT2" i="4"/>
  <c r="BU2" i="4"/>
  <c r="BV2" i="4"/>
  <c r="BW2" i="4"/>
  <c r="BX2" i="4"/>
  <c r="BY2" i="4"/>
  <c r="BZ2" i="4"/>
  <c r="CA2" i="4"/>
  <c r="CB2" i="4"/>
  <c r="CC2" i="4"/>
  <c r="CD2" i="4"/>
  <c r="CE2" i="4"/>
  <c r="CF2" i="4"/>
  <c r="CG2" i="4"/>
  <c r="CH2" i="4"/>
  <c r="CI2" i="4"/>
  <c r="CJ2" i="4"/>
  <c r="CK2" i="4"/>
  <c r="CL2" i="4"/>
  <c r="CM2" i="4"/>
  <c r="CN2" i="4"/>
  <c r="CO2" i="4"/>
  <c r="CP2" i="4"/>
  <c r="CQ2" i="4"/>
  <c r="CR2" i="4"/>
  <c r="CS2" i="4"/>
  <c r="CT2" i="4"/>
  <c r="CU2" i="4"/>
  <c r="CV2" i="4"/>
  <c r="CW2" i="4"/>
  <c r="CX2" i="4"/>
  <c r="CY2" i="4"/>
  <c r="CZ2" i="4"/>
  <c r="DA2" i="4"/>
  <c r="DB2" i="4"/>
  <c r="DC2" i="4"/>
  <c r="DD2" i="4"/>
  <c r="DE2" i="4"/>
  <c r="DF2" i="4"/>
  <c r="DG2" i="4"/>
  <c r="DH2" i="4"/>
  <c r="DI2" i="4"/>
  <c r="DJ2" i="4"/>
  <c r="DK2" i="4"/>
  <c r="DL2" i="4"/>
  <c r="DM2" i="4"/>
  <c r="DN2" i="4"/>
  <c r="DO2" i="4"/>
  <c r="DP2" i="4"/>
  <c r="DQ2" i="4"/>
  <c r="DR2" i="4"/>
  <c r="DS2" i="4"/>
  <c r="DT2" i="4"/>
  <c r="DU2" i="4"/>
  <c r="DV2" i="4"/>
  <c r="DW2" i="4"/>
  <c r="DX2" i="4"/>
  <c r="DY2" i="4"/>
  <c r="DZ2" i="4"/>
  <c r="EA2" i="4"/>
  <c r="EB2" i="4"/>
  <c r="EC2" i="4"/>
  <c r="ED2" i="4"/>
  <c r="EE2" i="4"/>
  <c r="EF2" i="4"/>
  <c r="EG2" i="4"/>
  <c r="EH2" i="4"/>
  <c r="EI2" i="4"/>
  <c r="EJ2" i="4"/>
  <c r="EK2" i="4"/>
  <c r="EL2" i="4"/>
  <c r="EM2" i="4"/>
  <c r="EN2" i="4"/>
  <c r="EO2" i="4"/>
  <c r="EP2" i="4"/>
  <c r="EQ2" i="4"/>
  <c r="ER2" i="4"/>
  <c r="ES2" i="4"/>
  <c r="ET2" i="4"/>
  <c r="EU2" i="4"/>
  <c r="EV2" i="4"/>
  <c r="EW2" i="4"/>
  <c r="EX2" i="4"/>
  <c r="EY2" i="4"/>
  <c r="EZ2" i="4"/>
  <c r="FA2" i="4"/>
  <c r="FB2" i="4"/>
  <c r="FC2" i="4"/>
  <c r="FD2" i="4"/>
  <c r="FE2" i="4"/>
  <c r="FF2" i="4"/>
  <c r="FG2" i="4"/>
  <c r="FH2" i="4"/>
  <c r="FI2" i="4"/>
  <c r="FJ2" i="4"/>
  <c r="FK2" i="4"/>
  <c r="FL2" i="4"/>
  <c r="FM2" i="4"/>
  <c r="FN2" i="4"/>
  <c r="FO2" i="4"/>
  <c r="FP2" i="4"/>
  <c r="FQ2" i="4"/>
  <c r="FR2" i="4"/>
  <c r="FS2" i="4"/>
  <c r="FT2" i="4"/>
  <c r="FU2" i="4"/>
  <c r="FV2" i="4"/>
  <c r="FW2" i="4"/>
  <c r="FX2" i="4"/>
  <c r="FY2" i="4"/>
  <c r="FZ2" i="4"/>
  <c r="GA2" i="4"/>
  <c r="GB2" i="4"/>
  <c r="GC2" i="4"/>
  <c r="GD2" i="4"/>
  <c r="GE2" i="4"/>
  <c r="GF2" i="4"/>
  <c r="GG2" i="4"/>
  <c r="GH2" i="4"/>
  <c r="GI2" i="4"/>
  <c r="GJ2" i="4"/>
  <c r="GK2" i="4"/>
  <c r="GL2" i="4"/>
  <c r="GM2" i="4"/>
  <c r="GN2" i="4"/>
  <c r="GO2" i="4"/>
  <c r="GP2" i="4"/>
  <c r="GQ2" i="4"/>
  <c r="GR2" i="4"/>
  <c r="GS2" i="4"/>
  <c r="GT2" i="4"/>
  <c r="GU2" i="4"/>
  <c r="GV2" i="4"/>
  <c r="GW2" i="4"/>
  <c r="GX2" i="4"/>
  <c r="GY2" i="4"/>
  <c r="GZ2" i="4"/>
  <c r="HA2" i="4"/>
  <c r="HB2" i="4"/>
  <c r="HC2" i="4"/>
  <c r="HD2" i="4"/>
  <c r="HE2" i="4"/>
  <c r="HF2" i="4"/>
  <c r="HG2" i="4"/>
  <c r="HH2" i="4"/>
  <c r="HI2" i="4"/>
  <c r="HJ2" i="4"/>
  <c r="HK2" i="4"/>
  <c r="HL2" i="4"/>
  <c r="HM2" i="4"/>
  <c r="HN2" i="4"/>
  <c r="HO2" i="4"/>
  <c r="HP2" i="4"/>
  <c r="HQ2" i="4"/>
  <c r="HR2" i="4"/>
  <c r="HS2" i="4"/>
  <c r="HT2" i="4"/>
  <c r="HU2" i="4"/>
  <c r="HV2" i="4"/>
  <c r="HW2" i="4"/>
  <c r="HX2" i="4"/>
  <c r="HY2" i="4"/>
  <c r="HZ2" i="4"/>
  <c r="IA2" i="4"/>
  <c r="IB2" i="4"/>
  <c r="IC2" i="4"/>
  <c r="ID2" i="4"/>
  <c r="IE2" i="4"/>
  <c r="IF2" i="4"/>
  <c r="IG2" i="4"/>
  <c r="IH2" i="4"/>
  <c r="II2" i="4"/>
  <c r="IJ2" i="4"/>
  <c r="IK2" i="4"/>
  <c r="IL2" i="4"/>
  <c r="IM2" i="4"/>
  <c r="IN2" i="4"/>
  <c r="IO2" i="4"/>
  <c r="IP2" i="4"/>
  <c r="IQ2" i="4"/>
  <c r="IR2" i="4"/>
  <c r="IS2" i="4"/>
  <c r="IT2" i="4"/>
  <c r="IU2" i="4"/>
  <c r="IV2" i="4"/>
  <c r="A3" i="4"/>
  <c r="B3" i="4"/>
  <c r="C3" i="4"/>
  <c r="D3" i="4"/>
  <c r="E3" i="4"/>
  <c r="F3" i="4"/>
  <c r="G3" i="4"/>
  <c r="H3" i="4"/>
  <c r="I3" i="4"/>
  <c r="J3" i="4"/>
  <c r="K3" i="4"/>
  <c r="L3" i="4"/>
  <c r="M3" i="4"/>
  <c r="N3" i="4"/>
  <c r="O3" i="4"/>
  <c r="P3" i="4"/>
  <c r="Q3" i="4"/>
  <c r="R3" i="4"/>
  <c r="S3" i="4"/>
  <c r="T3" i="4"/>
  <c r="U3" i="4"/>
  <c r="V3" i="4"/>
  <c r="W3" i="4"/>
  <c r="X3" i="4"/>
  <c r="Y3" i="4"/>
  <c r="Z3" i="4"/>
  <c r="AA3" i="4"/>
  <c r="AB3" i="4"/>
  <c r="AC3" i="4"/>
  <c r="AD3" i="4"/>
  <c r="AE3" i="4"/>
  <c r="AF3" i="4"/>
  <c r="AG3" i="4"/>
  <c r="AH3" i="4"/>
  <c r="AI3" i="4"/>
  <c r="AJ3" i="4"/>
  <c r="AK3" i="4"/>
  <c r="AL3" i="4"/>
  <c r="AM3" i="4"/>
  <c r="AN3" i="4"/>
  <c r="AO3" i="4"/>
  <c r="AP3" i="4"/>
  <c r="AQ3" i="4"/>
  <c r="AR3" i="4"/>
  <c r="AS3" i="4"/>
  <c r="AT3" i="4"/>
  <c r="AU3" i="4"/>
  <c r="AV3" i="4"/>
  <c r="AW3" i="4"/>
  <c r="AX3" i="4"/>
  <c r="AY3" i="4"/>
  <c r="AZ3" i="4"/>
  <c r="BA3" i="4"/>
  <c r="BB3" i="4"/>
  <c r="BC3" i="4"/>
  <c r="BD3" i="4"/>
  <c r="BE3" i="4"/>
  <c r="BF3" i="4"/>
  <c r="BG3" i="4"/>
  <c r="BH3" i="4"/>
  <c r="BI3" i="4"/>
  <c r="BJ3" i="4"/>
  <c r="BK3" i="4"/>
  <c r="BL3" i="4"/>
  <c r="BM3" i="4"/>
  <c r="BN3" i="4"/>
  <c r="BO3" i="4"/>
  <c r="BP3" i="4"/>
  <c r="BQ3" i="4"/>
  <c r="BR3" i="4"/>
  <c r="BS3" i="4"/>
  <c r="BT3" i="4"/>
  <c r="BU3" i="4"/>
  <c r="BV3" i="4"/>
  <c r="BW3" i="4"/>
  <c r="BX3" i="4"/>
  <c r="BY3" i="4"/>
  <c r="BZ3" i="4"/>
  <c r="CA3" i="4"/>
  <c r="CB3" i="4"/>
  <c r="CC3" i="4"/>
  <c r="CD3" i="4"/>
  <c r="CE3" i="4"/>
  <c r="CF3" i="4"/>
  <c r="CG3" i="4"/>
  <c r="CH3" i="4"/>
  <c r="CI3" i="4"/>
  <c r="CJ3" i="4"/>
  <c r="CK3" i="4"/>
  <c r="CL3" i="4"/>
  <c r="CM3" i="4"/>
  <c r="CN3" i="4"/>
  <c r="CO3" i="4"/>
  <c r="CP3" i="4"/>
  <c r="CQ3" i="4"/>
  <c r="CR3" i="4"/>
  <c r="CS3" i="4"/>
  <c r="CT3" i="4"/>
  <c r="CU3" i="4"/>
  <c r="CV3" i="4"/>
  <c r="CW3" i="4"/>
  <c r="CX3" i="4"/>
  <c r="CY3" i="4"/>
  <c r="CZ3" i="4"/>
  <c r="DA3" i="4"/>
  <c r="DB3" i="4"/>
  <c r="DC3" i="4"/>
  <c r="DD3" i="4"/>
  <c r="DE3" i="4"/>
  <c r="DF3" i="4"/>
  <c r="DG3" i="4"/>
  <c r="DH3" i="4"/>
  <c r="DI3" i="4"/>
  <c r="DJ3" i="4"/>
  <c r="DK3" i="4"/>
  <c r="DL3" i="4"/>
  <c r="DM3" i="4"/>
  <c r="DN3" i="4"/>
  <c r="DO3" i="4"/>
  <c r="DP3" i="4"/>
  <c r="DQ3" i="4"/>
  <c r="DR3" i="4"/>
  <c r="DS3" i="4"/>
  <c r="DT3" i="4"/>
  <c r="DU3" i="4"/>
  <c r="DV3" i="4"/>
  <c r="DW3" i="4"/>
  <c r="DX3" i="4"/>
  <c r="DY3" i="4"/>
  <c r="DZ3" i="4"/>
  <c r="EA3" i="4"/>
  <c r="EB3" i="4"/>
  <c r="EC3" i="4"/>
  <c r="ED3" i="4"/>
  <c r="EE3" i="4"/>
  <c r="EF3" i="4"/>
  <c r="EG3" i="4"/>
  <c r="EH3" i="4"/>
  <c r="EI3" i="4"/>
  <c r="EJ3" i="4"/>
  <c r="EK3" i="4"/>
  <c r="EL3" i="4"/>
  <c r="EM3" i="4"/>
  <c r="EN3" i="4"/>
  <c r="EO3" i="4"/>
  <c r="EP3" i="4"/>
  <c r="EQ3" i="4"/>
  <c r="ER3" i="4"/>
  <c r="ES3" i="4"/>
  <c r="ET3" i="4"/>
  <c r="EU3" i="4"/>
  <c r="EV3" i="4"/>
  <c r="EW3" i="4"/>
  <c r="EX3" i="4"/>
  <c r="EY3" i="4"/>
  <c r="EZ3" i="4"/>
  <c r="FA3" i="4"/>
  <c r="FB3" i="4"/>
  <c r="FC3" i="4"/>
  <c r="FD3" i="4"/>
  <c r="FE3" i="4"/>
  <c r="FF3" i="4"/>
  <c r="FG3" i="4"/>
  <c r="FH3" i="4"/>
  <c r="FI3" i="4"/>
  <c r="FJ3" i="4"/>
  <c r="FK3" i="4"/>
  <c r="FL3" i="4"/>
  <c r="FM3" i="4"/>
  <c r="FN3" i="4"/>
  <c r="FO3" i="4"/>
  <c r="FP3" i="4"/>
  <c r="FQ3" i="4"/>
  <c r="FR3" i="4"/>
  <c r="FS3" i="4"/>
  <c r="FT3" i="4"/>
  <c r="FU3" i="4"/>
  <c r="FV3" i="4"/>
  <c r="FW3" i="4"/>
  <c r="FX3" i="4"/>
  <c r="FY3" i="4"/>
  <c r="FZ3" i="4"/>
  <c r="GA3" i="4"/>
  <c r="GB3" i="4"/>
  <c r="GC3" i="4"/>
  <c r="GD3" i="4"/>
  <c r="GE3" i="4"/>
  <c r="GF3" i="4"/>
  <c r="GG3" i="4"/>
  <c r="GH3" i="4"/>
  <c r="GI3" i="4"/>
  <c r="GJ3" i="4"/>
  <c r="GK3" i="4"/>
  <c r="GL3" i="4"/>
  <c r="GM3" i="4"/>
  <c r="GN3" i="4"/>
  <c r="GO3" i="4"/>
  <c r="GP3" i="4"/>
  <c r="GQ3" i="4"/>
  <c r="GR3" i="4"/>
  <c r="GS3" i="4"/>
  <c r="GT3" i="4"/>
  <c r="GU3" i="4"/>
  <c r="GV3" i="4"/>
  <c r="GW3" i="4"/>
  <c r="GX3" i="4"/>
  <c r="GY3" i="4"/>
  <c r="GZ3" i="4"/>
  <c r="HA3" i="4"/>
  <c r="HB3" i="4"/>
  <c r="HC3" i="4"/>
  <c r="HD3" i="4"/>
  <c r="HE3" i="4"/>
  <c r="HF3" i="4"/>
  <c r="HG3" i="4"/>
  <c r="HH3" i="4"/>
  <c r="HI3" i="4"/>
  <c r="HJ3" i="4"/>
  <c r="HK3" i="4"/>
  <c r="HL3" i="4"/>
  <c r="HM3" i="4"/>
  <c r="HN3" i="4"/>
  <c r="HO3" i="4"/>
  <c r="HP3" i="4"/>
  <c r="HQ3" i="4"/>
  <c r="HR3" i="4"/>
  <c r="HS3" i="4"/>
  <c r="HT3" i="4"/>
  <c r="HU3" i="4"/>
  <c r="HV3" i="4"/>
  <c r="HW3" i="4"/>
  <c r="HX3" i="4"/>
  <c r="HY3" i="4"/>
  <c r="HZ3" i="4"/>
  <c r="IA3" i="4"/>
  <c r="IB3" i="4"/>
  <c r="IC3" i="4"/>
  <c r="ID3" i="4"/>
  <c r="IE3" i="4"/>
  <c r="IF3" i="4"/>
  <c r="IG3" i="4"/>
  <c r="IH3" i="4"/>
  <c r="II3" i="4"/>
  <c r="IJ3" i="4"/>
  <c r="IK3" i="4"/>
  <c r="IL3" i="4"/>
  <c r="IM3" i="4"/>
  <c r="IN3" i="4"/>
  <c r="IO3" i="4"/>
  <c r="IP3" i="4"/>
  <c r="IQ3" i="4"/>
  <c r="IR3" i="4"/>
  <c r="IS3" i="4"/>
  <c r="IT3" i="4"/>
  <c r="IU3" i="4"/>
  <c r="IV3" i="4"/>
  <c r="A4" i="4"/>
  <c r="B4" i="4"/>
  <c r="C4" i="4"/>
  <c r="D4" i="4"/>
  <c r="E4" i="4"/>
  <c r="F4" i="4"/>
  <c r="G4" i="4"/>
  <c r="H4" i="4"/>
  <c r="I4" i="4"/>
  <c r="J4" i="4"/>
  <c r="K4" i="4"/>
  <c r="L4" i="4"/>
  <c r="M4" i="4"/>
  <c r="N4" i="4"/>
  <c r="O4" i="4"/>
  <c r="P4" i="4"/>
  <c r="Q4" i="4"/>
  <c r="R4" i="4"/>
  <c r="S4" i="4"/>
  <c r="T4" i="4"/>
  <c r="U4" i="4"/>
  <c r="V4" i="4"/>
  <c r="W4" i="4"/>
  <c r="X4" i="4"/>
  <c r="Y4" i="4"/>
  <c r="Z4" i="4"/>
  <c r="AA4" i="4"/>
  <c r="AB4" i="4"/>
  <c r="AC4" i="4"/>
  <c r="AD4" i="4"/>
  <c r="AE4" i="4"/>
  <c r="AF4" i="4"/>
  <c r="AG4" i="4"/>
  <c r="AH4" i="4"/>
  <c r="AI4" i="4"/>
  <c r="AJ4" i="4"/>
  <c r="AK4" i="4"/>
  <c r="AL4" i="4"/>
  <c r="AM4" i="4"/>
  <c r="AN4" i="4"/>
  <c r="AO4" i="4"/>
  <c r="AP4" i="4"/>
  <c r="AQ4" i="4"/>
  <c r="AR4" i="4"/>
  <c r="AS4" i="4"/>
  <c r="AT4" i="4"/>
  <c r="AU4" i="4"/>
  <c r="AV4" i="4"/>
  <c r="AW4" i="4"/>
  <c r="AX4" i="4"/>
  <c r="AY4" i="4"/>
  <c r="AZ4" i="4"/>
  <c r="BA4" i="4"/>
  <c r="BB4" i="4"/>
  <c r="BC4" i="4"/>
  <c r="BD4" i="4"/>
  <c r="BE4" i="4"/>
  <c r="BF4" i="4"/>
  <c r="BG4" i="4"/>
  <c r="BH4" i="4"/>
  <c r="BI4" i="4"/>
  <c r="BJ4" i="4"/>
  <c r="BK4" i="4"/>
  <c r="BL4" i="4"/>
  <c r="BM4" i="4"/>
  <c r="BN4" i="4"/>
  <c r="BO4" i="4"/>
  <c r="BP4" i="4"/>
  <c r="BQ4" i="4"/>
  <c r="BR4" i="4"/>
  <c r="BS4" i="4"/>
  <c r="BT4" i="4"/>
  <c r="BU4" i="4"/>
  <c r="BV4" i="4"/>
  <c r="BW4" i="4"/>
  <c r="BX4" i="4"/>
  <c r="BY4" i="4"/>
  <c r="BZ4" i="4"/>
  <c r="CA4" i="4"/>
  <c r="CB4" i="4"/>
  <c r="CC4" i="4"/>
  <c r="CD4" i="4"/>
  <c r="CE4" i="4"/>
  <c r="CF4" i="4"/>
  <c r="CG4" i="4"/>
  <c r="CH4" i="4"/>
  <c r="CI4" i="4"/>
  <c r="CJ4" i="4"/>
  <c r="CK4" i="4"/>
  <c r="CL4" i="4"/>
  <c r="CM4" i="4"/>
  <c r="CN4" i="4"/>
  <c r="CO4" i="4"/>
  <c r="CP4" i="4"/>
  <c r="CQ4" i="4"/>
  <c r="CR4" i="4"/>
  <c r="CS4" i="4"/>
  <c r="CT4" i="4"/>
  <c r="CU4" i="4"/>
  <c r="CV4" i="4"/>
  <c r="CW4" i="4"/>
  <c r="CX4" i="4"/>
  <c r="CY4" i="4"/>
  <c r="CZ4" i="4"/>
  <c r="DA4" i="4"/>
  <c r="DB4" i="4"/>
  <c r="DC4" i="4"/>
  <c r="DD4" i="4"/>
  <c r="DE4" i="4"/>
  <c r="DF4" i="4"/>
  <c r="DG4" i="4"/>
  <c r="DH4" i="4"/>
  <c r="DI4" i="4"/>
  <c r="DJ4" i="4"/>
  <c r="DK4" i="4"/>
  <c r="DL4" i="4"/>
  <c r="DM4" i="4"/>
  <c r="DN4" i="4"/>
  <c r="DO4" i="4"/>
  <c r="DP4" i="4"/>
  <c r="DQ4" i="4"/>
  <c r="DR4" i="4"/>
  <c r="DS4" i="4"/>
  <c r="DT4" i="4"/>
  <c r="DU4" i="4"/>
  <c r="DV4" i="4"/>
  <c r="DW4" i="4"/>
  <c r="DX4" i="4"/>
  <c r="DY4" i="4"/>
  <c r="DZ4" i="4"/>
  <c r="EA4" i="4"/>
  <c r="EB4" i="4"/>
  <c r="EC4" i="4"/>
  <c r="ED4" i="4"/>
  <c r="EE4" i="4"/>
  <c r="EF4" i="4"/>
  <c r="EG4" i="4"/>
  <c r="EH4" i="4"/>
  <c r="EI4" i="4"/>
  <c r="EJ4" i="4"/>
  <c r="EK4" i="4"/>
  <c r="EL4" i="4"/>
  <c r="EM4" i="4"/>
  <c r="EN4" i="4"/>
  <c r="EO4" i="4"/>
  <c r="EP4" i="4"/>
  <c r="EQ4" i="4"/>
  <c r="ER4" i="4"/>
  <c r="ES4" i="4"/>
  <c r="ET4" i="4"/>
  <c r="EU4" i="4"/>
  <c r="EV4" i="4"/>
  <c r="EW4" i="4"/>
  <c r="EX4" i="4"/>
  <c r="EY4" i="4"/>
  <c r="EZ4" i="4"/>
  <c r="FA4" i="4"/>
  <c r="FB4" i="4"/>
  <c r="FC4" i="4"/>
  <c r="FD4" i="4"/>
  <c r="FE4" i="4"/>
  <c r="FF4" i="4"/>
  <c r="FG4" i="4"/>
  <c r="FH4" i="4"/>
  <c r="FI4" i="4"/>
  <c r="FJ4" i="4"/>
  <c r="FK4" i="4"/>
  <c r="FL4" i="4"/>
  <c r="FM4" i="4"/>
  <c r="FN4" i="4"/>
  <c r="FO4" i="4"/>
  <c r="FP4" i="4"/>
  <c r="FQ4" i="4"/>
  <c r="FR4" i="4"/>
  <c r="FS4" i="4"/>
  <c r="FT4" i="4"/>
  <c r="FU4" i="4"/>
  <c r="FV4" i="4"/>
  <c r="FW4" i="4"/>
  <c r="FX4" i="4"/>
  <c r="FY4" i="4"/>
  <c r="FZ4" i="4"/>
  <c r="GA4" i="4"/>
  <c r="GB4" i="4"/>
  <c r="GC4" i="4"/>
  <c r="GD4" i="4"/>
  <c r="GE4" i="4"/>
  <c r="GF4" i="4"/>
  <c r="GG4" i="4"/>
  <c r="GH4" i="4"/>
  <c r="GI4" i="4"/>
  <c r="GJ4" i="4"/>
  <c r="GK4" i="4"/>
  <c r="GL4" i="4"/>
  <c r="GM4" i="4"/>
  <c r="GN4" i="4"/>
  <c r="GO4" i="4"/>
  <c r="GP4" i="4"/>
  <c r="GQ4" i="4"/>
  <c r="GR4" i="4"/>
  <c r="GS4" i="4"/>
  <c r="GT4" i="4"/>
  <c r="GU4" i="4"/>
  <c r="GV4" i="4"/>
  <c r="GW4" i="4"/>
  <c r="GX4" i="4"/>
  <c r="GY4" i="4"/>
  <c r="GZ4" i="4"/>
  <c r="HA4" i="4"/>
  <c r="HB4" i="4"/>
  <c r="HC4" i="4"/>
  <c r="HD4" i="4"/>
  <c r="HE4" i="4"/>
  <c r="HF4" i="4"/>
  <c r="HG4" i="4"/>
  <c r="HH4" i="4"/>
  <c r="HI4" i="4"/>
  <c r="HJ4" i="4"/>
  <c r="HK4" i="4"/>
  <c r="HL4" i="4"/>
  <c r="HM4" i="4"/>
  <c r="HN4" i="4"/>
  <c r="HO4" i="4"/>
  <c r="HP4" i="4"/>
  <c r="HQ4" i="4"/>
  <c r="HR4" i="4"/>
  <c r="HS4" i="4"/>
  <c r="HT4" i="4"/>
  <c r="HU4" i="4"/>
  <c r="HV4" i="4"/>
  <c r="HW4" i="4"/>
  <c r="HX4" i="4"/>
  <c r="HY4" i="4"/>
  <c r="HZ4" i="4"/>
  <c r="IA4" i="4"/>
  <c r="IB4" i="4"/>
  <c r="IC4" i="4"/>
  <c r="ID4" i="4"/>
  <c r="IE4" i="4"/>
  <c r="IF4" i="4"/>
  <c r="IG4" i="4"/>
  <c r="IH4" i="4"/>
  <c r="II4" i="4"/>
  <c r="IJ4" i="4"/>
  <c r="IK4" i="4"/>
  <c r="IL4" i="4"/>
  <c r="IM4" i="4"/>
  <c r="IN4" i="4"/>
  <c r="IO4" i="4"/>
  <c r="IP4" i="4"/>
  <c r="IQ4" i="4"/>
  <c r="IR4" i="4"/>
  <c r="IS4" i="4"/>
  <c r="IT4" i="4"/>
  <c r="IU4" i="4"/>
  <c r="IV4" i="4"/>
  <c r="A5" i="4"/>
  <c r="B5" i="4"/>
  <c r="C5" i="4"/>
  <c r="D5" i="4"/>
  <c r="E5" i="4"/>
  <c r="F5" i="4"/>
  <c r="G5" i="4"/>
  <c r="H5" i="4"/>
  <c r="I5" i="4"/>
  <c r="J5" i="4"/>
  <c r="K5" i="4"/>
  <c r="L5" i="4"/>
  <c r="M5" i="4"/>
  <c r="N5" i="4"/>
  <c r="O5" i="4"/>
  <c r="P5" i="4"/>
  <c r="Q5" i="4"/>
  <c r="R5" i="4"/>
  <c r="S5" i="4"/>
  <c r="T5" i="4"/>
  <c r="U5" i="4"/>
  <c r="V5" i="4"/>
  <c r="W5" i="4"/>
  <c r="X5" i="4"/>
  <c r="Y5" i="4"/>
  <c r="Z5" i="4"/>
  <c r="AA5" i="4"/>
  <c r="AB5" i="4"/>
  <c r="AC5" i="4"/>
  <c r="AD5" i="4"/>
  <c r="AE5" i="4"/>
  <c r="AF5" i="4"/>
  <c r="AG5" i="4"/>
  <c r="AH5" i="4"/>
  <c r="AI5" i="4"/>
  <c r="AJ5" i="4"/>
  <c r="AK5" i="4"/>
  <c r="AL5" i="4"/>
  <c r="AM5" i="4"/>
  <c r="AN5" i="4"/>
  <c r="AO5" i="4"/>
  <c r="AP5" i="4"/>
  <c r="AQ5" i="4"/>
  <c r="AR5" i="4"/>
  <c r="AS5" i="4"/>
  <c r="AT5" i="4"/>
  <c r="AU5" i="4"/>
  <c r="AV5" i="4"/>
  <c r="AW5" i="4"/>
  <c r="AX5" i="4"/>
  <c r="AY5" i="4"/>
  <c r="AZ5" i="4"/>
  <c r="BA5" i="4"/>
  <c r="BB5" i="4"/>
  <c r="BC5" i="4"/>
  <c r="BD5" i="4"/>
  <c r="BE5" i="4"/>
  <c r="BF5" i="4"/>
  <c r="BG5" i="4"/>
  <c r="BH5" i="4"/>
  <c r="BI5" i="4"/>
  <c r="BJ5" i="4"/>
  <c r="BK5" i="4"/>
  <c r="BL5" i="4"/>
  <c r="BM5" i="4"/>
  <c r="BN5" i="4"/>
  <c r="BO5" i="4"/>
  <c r="BP5" i="4"/>
  <c r="BQ5" i="4"/>
  <c r="BR5" i="4"/>
  <c r="BS5" i="4"/>
  <c r="BT5" i="4"/>
  <c r="BU5" i="4"/>
  <c r="BV5" i="4"/>
  <c r="BW5" i="4"/>
  <c r="BX5" i="4"/>
  <c r="BY5" i="4"/>
  <c r="BZ5" i="4"/>
  <c r="CA5" i="4"/>
  <c r="CB5" i="4"/>
  <c r="CC5" i="4"/>
  <c r="CD5" i="4"/>
  <c r="CE5" i="4"/>
  <c r="CF5" i="4"/>
  <c r="CG5" i="4"/>
  <c r="CH5" i="4"/>
  <c r="CI5" i="4"/>
  <c r="CJ5" i="4"/>
  <c r="CK5" i="4"/>
  <c r="CL5" i="4"/>
  <c r="CM5" i="4"/>
  <c r="CN5" i="4"/>
  <c r="CO5" i="4"/>
  <c r="CP5" i="4"/>
  <c r="CQ5" i="4"/>
  <c r="CR5" i="4"/>
  <c r="CS5" i="4"/>
  <c r="CT5" i="4"/>
  <c r="CU5" i="4"/>
  <c r="CV5" i="4"/>
  <c r="CW5" i="4"/>
  <c r="CX5" i="4"/>
  <c r="CY5" i="4"/>
  <c r="CZ5" i="4"/>
  <c r="DA5" i="4"/>
  <c r="DB5" i="4"/>
  <c r="DC5" i="4"/>
  <c r="DD5" i="4"/>
  <c r="DE5" i="4"/>
  <c r="DF5" i="4"/>
  <c r="DG5" i="4"/>
  <c r="DH5" i="4"/>
  <c r="DI5" i="4"/>
  <c r="DJ5" i="4"/>
  <c r="DK5" i="4"/>
  <c r="DL5" i="4"/>
  <c r="DM5" i="4"/>
  <c r="DN5" i="4"/>
  <c r="DO5" i="4"/>
  <c r="DP5" i="4"/>
  <c r="DQ5" i="4"/>
  <c r="DR5" i="4"/>
  <c r="DS5" i="4"/>
  <c r="DT5" i="4"/>
  <c r="DU5" i="4"/>
  <c r="DV5" i="4"/>
  <c r="DW5" i="4"/>
  <c r="DX5" i="4"/>
  <c r="DY5" i="4"/>
  <c r="DZ5" i="4"/>
  <c r="EA5" i="4"/>
  <c r="EB5" i="4"/>
  <c r="EC5" i="4"/>
  <c r="ED5" i="4"/>
  <c r="EE5" i="4"/>
  <c r="EF5" i="4"/>
  <c r="EG5" i="4"/>
  <c r="EH5" i="4"/>
  <c r="EI5" i="4"/>
  <c r="EJ5" i="4"/>
  <c r="EK5" i="4"/>
  <c r="EL5" i="4"/>
  <c r="EM5" i="4"/>
  <c r="EN5" i="4"/>
  <c r="EO5" i="4"/>
  <c r="EP5" i="4"/>
  <c r="EQ5" i="4"/>
  <c r="ER5" i="4"/>
  <c r="ES5" i="4"/>
  <c r="ET5" i="4"/>
  <c r="EU5" i="4"/>
  <c r="EV5" i="4"/>
  <c r="EW5" i="4"/>
  <c r="EX5" i="4"/>
  <c r="EY5" i="4"/>
  <c r="EZ5" i="4"/>
  <c r="FA5" i="4"/>
  <c r="FB5" i="4"/>
  <c r="FC5" i="4"/>
  <c r="FD5" i="4"/>
  <c r="FE5" i="4"/>
  <c r="FF5" i="4"/>
  <c r="FG5" i="4"/>
  <c r="FH5" i="4"/>
  <c r="FI5" i="4"/>
  <c r="FJ5" i="4"/>
  <c r="FK5" i="4"/>
  <c r="FL5" i="4"/>
  <c r="FM5" i="4"/>
  <c r="FN5" i="4"/>
  <c r="FO5" i="4"/>
  <c r="FP5" i="4"/>
  <c r="FQ5" i="4"/>
  <c r="FR5" i="4"/>
  <c r="FS5" i="4"/>
  <c r="FT5" i="4"/>
  <c r="FU5" i="4"/>
  <c r="FV5" i="4"/>
  <c r="FW5" i="4"/>
  <c r="FX5" i="4"/>
  <c r="FY5" i="4"/>
  <c r="FZ5" i="4"/>
  <c r="GA5" i="4"/>
  <c r="GB5" i="4"/>
  <c r="GC5" i="4"/>
  <c r="GD5" i="4"/>
  <c r="GE5" i="4"/>
  <c r="GF5" i="4"/>
  <c r="GG5" i="4"/>
  <c r="GH5" i="4"/>
  <c r="GI5" i="4"/>
  <c r="GJ5" i="4"/>
  <c r="GK5" i="4"/>
  <c r="GL5" i="4"/>
  <c r="GM5" i="4"/>
  <c r="GN5" i="4"/>
  <c r="GO5" i="4"/>
  <c r="GP5" i="4"/>
  <c r="GQ5" i="4"/>
  <c r="GR5" i="4"/>
  <c r="GS5" i="4"/>
  <c r="GT5" i="4"/>
  <c r="GU5" i="4"/>
  <c r="GV5" i="4"/>
  <c r="GW5" i="4"/>
  <c r="GX5" i="4"/>
  <c r="GY5" i="4"/>
  <c r="GZ5" i="4"/>
  <c r="HA5" i="4"/>
  <c r="HB5" i="4"/>
  <c r="HC5" i="4"/>
  <c r="HD5" i="4"/>
  <c r="HE5" i="4"/>
  <c r="HF5" i="4"/>
  <c r="HG5" i="4"/>
  <c r="HH5" i="4"/>
  <c r="HI5" i="4"/>
  <c r="HJ5" i="4"/>
  <c r="HK5" i="4"/>
  <c r="HL5" i="4"/>
  <c r="HM5" i="4"/>
  <c r="HN5" i="4"/>
  <c r="HO5" i="4"/>
  <c r="HP5" i="4"/>
  <c r="HQ5" i="4"/>
  <c r="HR5" i="4"/>
  <c r="HS5" i="4"/>
  <c r="HT5" i="4"/>
  <c r="HU5" i="4"/>
  <c r="HV5" i="4"/>
  <c r="HW5" i="4"/>
  <c r="HX5" i="4"/>
  <c r="HY5" i="4"/>
  <c r="HZ5" i="4"/>
  <c r="IA5" i="4"/>
  <c r="IB5" i="4"/>
  <c r="IC5" i="4"/>
  <c r="ID5" i="4"/>
  <c r="IE5" i="4"/>
  <c r="IF5" i="4"/>
  <c r="IG5" i="4"/>
  <c r="IH5" i="4"/>
  <c r="II5" i="4"/>
  <c r="IJ5" i="4"/>
  <c r="IK5" i="4"/>
  <c r="IL5" i="4"/>
  <c r="IM5" i="4"/>
  <c r="IN5" i="4"/>
  <c r="IO5" i="4"/>
  <c r="IP5" i="4"/>
  <c r="IQ5" i="4"/>
  <c r="IR5" i="4"/>
  <c r="IS5" i="4"/>
  <c r="IT5" i="4"/>
  <c r="IU5" i="4"/>
  <c r="IV5" i="4"/>
  <c r="A6" i="4"/>
  <c r="B6" i="4"/>
  <c r="C6" i="4"/>
  <c r="D6" i="4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S6" i="4"/>
  <c r="T6" i="4"/>
  <c r="U6" i="4"/>
  <c r="V6" i="4"/>
  <c r="W6" i="4"/>
  <c r="X6" i="4"/>
  <c r="Y6" i="4"/>
  <c r="Z6" i="4"/>
  <c r="AA6" i="4"/>
  <c r="AB6" i="4"/>
  <c r="AC6" i="4"/>
  <c r="AD6" i="4"/>
  <c r="AE6" i="4"/>
  <c r="AF6" i="4"/>
  <c r="AG6" i="4"/>
  <c r="AH6" i="4"/>
  <c r="AI6" i="4"/>
  <c r="AJ6" i="4"/>
  <c r="AK6" i="4"/>
  <c r="AL6" i="4"/>
  <c r="AM6" i="4"/>
  <c r="AN6" i="4"/>
  <c r="AO6" i="4"/>
  <c r="AP6" i="4"/>
  <c r="AQ6" i="4"/>
  <c r="AR6" i="4"/>
  <c r="AS6" i="4"/>
  <c r="AT6" i="4"/>
  <c r="AU6" i="4"/>
  <c r="AV6" i="4"/>
  <c r="AW6" i="4"/>
  <c r="AX6" i="4"/>
  <c r="AY6" i="4"/>
  <c r="AZ6" i="4"/>
  <c r="BA6" i="4"/>
  <c r="BB6" i="4"/>
  <c r="BC6" i="4"/>
  <c r="BD6" i="4"/>
  <c r="BE6" i="4"/>
  <c r="BF6" i="4"/>
  <c r="BG6" i="4"/>
  <c r="BH6" i="4"/>
  <c r="BI6" i="4"/>
  <c r="BJ6" i="4"/>
  <c r="BK6" i="4"/>
  <c r="BL6" i="4"/>
  <c r="BM6" i="4"/>
  <c r="BN6" i="4"/>
  <c r="BO6" i="4"/>
  <c r="BP6" i="4"/>
  <c r="BQ6" i="4"/>
  <c r="BR6" i="4"/>
  <c r="BS6" i="4"/>
  <c r="BT6" i="4"/>
  <c r="BU6" i="4"/>
  <c r="BV6" i="4"/>
  <c r="BW6" i="4"/>
  <c r="BX6" i="4"/>
  <c r="BY6" i="4"/>
  <c r="BZ6" i="4"/>
  <c r="CA6" i="4"/>
  <c r="CB6" i="4"/>
  <c r="CC6" i="4"/>
  <c r="CD6" i="4"/>
  <c r="CE6" i="4"/>
  <c r="CF6" i="4"/>
  <c r="CG6" i="4"/>
  <c r="CH6" i="4"/>
  <c r="CI6" i="4"/>
  <c r="CJ6" i="4"/>
  <c r="CK6" i="4"/>
  <c r="CL6" i="4"/>
  <c r="CM6" i="4"/>
  <c r="CN6" i="4"/>
  <c r="CO6" i="4"/>
  <c r="CP6" i="4"/>
  <c r="CQ6" i="4"/>
  <c r="CR6" i="4"/>
  <c r="CS6" i="4"/>
  <c r="CT6" i="4"/>
  <c r="CU6" i="4"/>
  <c r="CV6" i="4"/>
  <c r="CW6" i="4"/>
  <c r="CX6" i="4"/>
  <c r="CY6" i="4"/>
  <c r="CZ6" i="4"/>
  <c r="DA6" i="4"/>
  <c r="DB6" i="4"/>
  <c r="DC6" i="4"/>
  <c r="DD6" i="4"/>
  <c r="DE6" i="4"/>
  <c r="DF6" i="4"/>
  <c r="DG6" i="4"/>
  <c r="DH6" i="4"/>
  <c r="DI6" i="4"/>
  <c r="DJ6" i="4"/>
  <c r="DK6" i="4"/>
  <c r="DL6" i="4"/>
  <c r="DM6" i="4"/>
  <c r="DN6" i="4"/>
  <c r="DO6" i="4"/>
  <c r="DP6" i="4"/>
  <c r="DQ6" i="4"/>
  <c r="DR6" i="4"/>
  <c r="DS6" i="4"/>
  <c r="DT6" i="4"/>
  <c r="DU6" i="4"/>
  <c r="DV6" i="4"/>
  <c r="DW6" i="4"/>
  <c r="DX6" i="4"/>
  <c r="DY6" i="4"/>
  <c r="DZ6" i="4"/>
  <c r="EA6" i="4"/>
  <c r="EB6" i="4"/>
  <c r="EC6" i="4"/>
  <c r="ED6" i="4"/>
  <c r="EE6" i="4"/>
  <c r="EF6" i="4"/>
  <c r="EG6" i="4"/>
  <c r="EH6" i="4"/>
  <c r="EI6" i="4"/>
  <c r="EJ6" i="4"/>
  <c r="EK6" i="4"/>
  <c r="EL6" i="4"/>
  <c r="EM6" i="4"/>
  <c r="EN6" i="4"/>
  <c r="EO6" i="4"/>
  <c r="EP6" i="4"/>
  <c r="EQ6" i="4"/>
  <c r="ER6" i="4"/>
  <c r="ES6" i="4"/>
  <c r="ET6" i="4"/>
  <c r="EU6" i="4"/>
  <c r="EV6" i="4"/>
  <c r="EW6" i="4"/>
  <c r="EX6" i="4"/>
  <c r="EY6" i="4"/>
  <c r="EZ6" i="4"/>
  <c r="FA6" i="4"/>
  <c r="FB6" i="4"/>
  <c r="FC6" i="4"/>
  <c r="FD6" i="4"/>
  <c r="FE6" i="4"/>
  <c r="FF6" i="4"/>
  <c r="FG6" i="4"/>
  <c r="FH6" i="4"/>
  <c r="FI6" i="4"/>
  <c r="FJ6" i="4"/>
  <c r="FK6" i="4"/>
  <c r="FL6" i="4"/>
  <c r="FM6" i="4"/>
  <c r="FN6" i="4"/>
  <c r="FO6" i="4"/>
  <c r="FP6" i="4"/>
  <c r="FQ6" i="4"/>
  <c r="FR6" i="4"/>
  <c r="FS6" i="4"/>
  <c r="FT6" i="4"/>
  <c r="FU6" i="4"/>
  <c r="FV6" i="4"/>
  <c r="FW6" i="4"/>
  <c r="FX6" i="4"/>
  <c r="FY6" i="4"/>
  <c r="FZ6" i="4"/>
  <c r="GA6" i="4"/>
  <c r="GB6" i="4"/>
  <c r="GC6" i="4"/>
  <c r="GE6" i="4"/>
  <c r="A7" i="4"/>
  <c r="B7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T7" i="4"/>
  <c r="U7" i="4"/>
  <c r="V7" i="4"/>
  <c r="W7" i="4"/>
  <c r="X7" i="4"/>
  <c r="Y7" i="4"/>
  <c r="Z7" i="4"/>
  <c r="AA7" i="4"/>
  <c r="AB7" i="4"/>
  <c r="AC7" i="4"/>
  <c r="AD7" i="4"/>
  <c r="AE7" i="4"/>
  <c r="AF7" i="4"/>
  <c r="AG7" i="4"/>
  <c r="AH7" i="4"/>
  <c r="AI7" i="4"/>
  <c r="AJ7" i="4"/>
  <c r="AK7" i="4"/>
  <c r="AL7" i="4"/>
  <c r="AM7" i="4"/>
  <c r="AN7" i="4"/>
  <c r="AO7" i="4"/>
  <c r="AP7" i="4"/>
  <c r="AQ7" i="4"/>
  <c r="AR7" i="4"/>
  <c r="AS7" i="4"/>
  <c r="AT7" i="4"/>
  <c r="AU7" i="4"/>
  <c r="AV7" i="4"/>
  <c r="AW7" i="4"/>
  <c r="AX7" i="4"/>
  <c r="AY7" i="4"/>
  <c r="AZ7" i="4"/>
  <c r="BA7" i="4"/>
  <c r="BB7" i="4"/>
  <c r="BC7" i="4"/>
  <c r="BD7" i="4"/>
  <c r="BE7" i="4"/>
  <c r="BF7" i="4"/>
  <c r="BG7" i="4"/>
  <c r="BH7" i="4"/>
  <c r="BI7" i="4"/>
  <c r="BJ7" i="4"/>
  <c r="BK7" i="4"/>
  <c r="BL7" i="4"/>
  <c r="BM7" i="4"/>
  <c r="BN7" i="4"/>
  <c r="BO7" i="4"/>
  <c r="BP7" i="4"/>
  <c r="BQ7" i="4"/>
  <c r="BR7" i="4"/>
  <c r="BS7" i="4"/>
  <c r="BT7" i="4"/>
  <c r="BU7" i="4"/>
  <c r="BV7" i="4"/>
  <c r="BW7" i="4"/>
  <c r="BX7" i="4"/>
  <c r="BY7" i="4"/>
  <c r="BZ7" i="4"/>
  <c r="CA7" i="4"/>
  <c r="CB7" i="4"/>
  <c r="CC7" i="4"/>
  <c r="CD7" i="4"/>
  <c r="CE7" i="4"/>
  <c r="CF7" i="4"/>
  <c r="CG7" i="4"/>
  <c r="CH7" i="4"/>
  <c r="CI7" i="4"/>
  <c r="CJ7" i="4"/>
  <c r="CK7" i="4"/>
  <c r="CL7" i="4"/>
  <c r="CM7" i="4"/>
  <c r="CN7" i="4"/>
  <c r="CO7" i="4"/>
  <c r="CP7" i="4"/>
  <c r="CQ7" i="4"/>
  <c r="CR7" i="4"/>
  <c r="CS7" i="4"/>
  <c r="CT7" i="4"/>
  <c r="CU7" i="4"/>
  <c r="CV7" i="4"/>
  <c r="CW7" i="4"/>
  <c r="CX7" i="4"/>
  <c r="CY7" i="4"/>
  <c r="CZ7" i="4"/>
  <c r="DA7" i="4"/>
  <c r="DB7" i="4"/>
  <c r="DC7" i="4"/>
  <c r="DD7" i="4"/>
  <c r="DE7" i="4"/>
  <c r="DF7" i="4"/>
  <c r="DG7" i="4"/>
  <c r="DH7" i="4"/>
  <c r="DI7" i="4"/>
  <c r="DJ7" i="4"/>
  <c r="DK7" i="4"/>
  <c r="DL7" i="4"/>
  <c r="DM7" i="4"/>
  <c r="DN7" i="4"/>
  <c r="DO7" i="4"/>
  <c r="DP7" i="4"/>
  <c r="DQ7" i="4"/>
  <c r="DR7" i="4"/>
  <c r="DS7" i="4"/>
  <c r="DT7" i="4"/>
  <c r="DU7" i="4"/>
  <c r="DV7" i="4"/>
  <c r="DW7" i="4"/>
  <c r="DX7" i="4"/>
  <c r="DY7" i="4"/>
  <c r="DZ7" i="4"/>
  <c r="EA7" i="4"/>
  <c r="EB7" i="4"/>
  <c r="EC7" i="4"/>
  <c r="ED7" i="4"/>
  <c r="EE7" i="4"/>
  <c r="EF7" i="4"/>
  <c r="EG7" i="4"/>
  <c r="EH7" i="4"/>
  <c r="EI7" i="4"/>
  <c r="EJ7" i="4"/>
  <c r="EK7" i="4"/>
  <c r="EL7" i="4"/>
  <c r="EM7" i="4"/>
  <c r="EN7" i="4"/>
  <c r="EO7" i="4"/>
  <c r="EP7" i="4"/>
  <c r="EQ7" i="4"/>
  <c r="ER7" i="4"/>
  <c r="ES7" i="4"/>
  <c r="ET7" i="4"/>
  <c r="EU7" i="4"/>
  <c r="EV7" i="4"/>
  <c r="EW7" i="4"/>
  <c r="EX7" i="4"/>
  <c r="EY7" i="4"/>
  <c r="EZ7" i="4"/>
  <c r="FA7" i="4"/>
  <c r="FB7" i="4"/>
  <c r="FC7" i="4"/>
  <c r="FD7" i="4"/>
  <c r="FE7" i="4"/>
  <c r="FF7" i="4"/>
  <c r="FG7" i="4"/>
  <c r="FH7" i="4"/>
  <c r="FI7" i="4"/>
  <c r="FJ7" i="4"/>
  <c r="FK7" i="4"/>
  <c r="FL7" i="4"/>
  <c r="FM7" i="4"/>
  <c r="FN7" i="4"/>
  <c r="FO7" i="4"/>
  <c r="FP7" i="4"/>
  <c r="FQ7" i="4"/>
  <c r="FR7" i="4"/>
  <c r="FS7" i="4"/>
  <c r="FT7" i="4"/>
  <c r="FU7" i="4"/>
  <c r="FV7" i="4"/>
  <c r="FW7" i="4"/>
  <c r="FX7" i="4"/>
  <c r="FY7" i="4"/>
  <c r="FZ7" i="4"/>
  <c r="GA7" i="4"/>
  <c r="GB7" i="4"/>
  <c r="GC7" i="4"/>
  <c r="GD7" i="4"/>
  <c r="GE7" i="4"/>
  <c r="GF7" i="4"/>
  <c r="GG7" i="4"/>
  <c r="GH7" i="4"/>
  <c r="GI7" i="4"/>
  <c r="GJ7" i="4"/>
  <c r="GK7" i="4"/>
  <c r="GL7" i="4"/>
  <c r="GM7" i="4"/>
  <c r="GN7" i="4"/>
  <c r="GO7" i="4"/>
  <c r="GP7" i="4"/>
  <c r="GQ7" i="4"/>
  <c r="GR7" i="4"/>
  <c r="GS7" i="4"/>
  <c r="GT7" i="4"/>
  <c r="GU7" i="4"/>
  <c r="GV7" i="4"/>
  <c r="GW7" i="4"/>
  <c r="GX7" i="4"/>
  <c r="GY7" i="4"/>
  <c r="GZ7" i="4"/>
  <c r="HA7" i="4"/>
  <c r="HB7" i="4"/>
  <c r="HC7" i="4"/>
  <c r="HD7" i="4"/>
  <c r="HE7" i="4"/>
  <c r="HF7" i="4"/>
  <c r="HG7" i="4"/>
  <c r="HH7" i="4"/>
  <c r="HI7" i="4"/>
  <c r="HJ7" i="4"/>
  <c r="HK7" i="4"/>
  <c r="HL7" i="4"/>
  <c r="HM7" i="4"/>
  <c r="HN7" i="4"/>
  <c r="HO7" i="4"/>
  <c r="HP7" i="4"/>
  <c r="HQ7" i="4"/>
  <c r="HR7" i="4"/>
  <c r="HS7" i="4"/>
  <c r="HT7" i="4"/>
  <c r="HU7" i="4"/>
  <c r="HV7" i="4"/>
  <c r="HW7" i="4"/>
  <c r="HX7" i="4"/>
  <c r="HY7" i="4"/>
  <c r="HZ7" i="4"/>
  <c r="IA7" i="4"/>
  <c r="IB7" i="4"/>
  <c r="IC7" i="4"/>
  <c r="ID7" i="4"/>
  <c r="IE7" i="4"/>
  <c r="IF7" i="4"/>
  <c r="IG7" i="4"/>
  <c r="IH7" i="4"/>
  <c r="II7" i="4"/>
  <c r="IJ7" i="4"/>
  <c r="IK7" i="4"/>
  <c r="IL7" i="4"/>
  <c r="IM7" i="4"/>
  <c r="IN7" i="4"/>
  <c r="IO7" i="4"/>
  <c r="IP7" i="4"/>
  <c r="IQ7" i="4"/>
  <c r="IR7" i="4"/>
  <c r="IS7" i="4"/>
  <c r="IT7" i="4"/>
  <c r="IU7" i="4"/>
  <c r="IV7" i="4"/>
  <c r="A8" i="4"/>
  <c r="B8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W8" i="4"/>
  <c r="X8" i="4"/>
  <c r="Y8" i="4"/>
  <c r="Z8" i="4"/>
  <c r="AA8" i="4"/>
  <c r="AB8" i="4"/>
  <c r="AC8" i="4"/>
  <c r="AD8" i="4"/>
  <c r="AE8" i="4"/>
  <c r="AF8" i="4"/>
  <c r="AG8" i="4"/>
  <c r="AH8" i="4"/>
  <c r="AI8" i="4"/>
  <c r="AJ8" i="4"/>
  <c r="AK8" i="4"/>
  <c r="AL8" i="4"/>
  <c r="AM8" i="4"/>
  <c r="AN8" i="4"/>
  <c r="AO8" i="4"/>
  <c r="AP8" i="4"/>
  <c r="AQ8" i="4"/>
  <c r="AR8" i="4"/>
  <c r="AS8" i="4"/>
  <c r="AT8" i="4"/>
  <c r="AU8" i="4"/>
  <c r="AV8" i="4"/>
  <c r="AW8" i="4"/>
  <c r="AX8" i="4"/>
  <c r="AY8" i="4"/>
  <c r="AZ8" i="4"/>
  <c r="BA8" i="4"/>
  <c r="BB8" i="4"/>
  <c r="BC8" i="4"/>
  <c r="BD8" i="4"/>
  <c r="BE8" i="4"/>
  <c r="BF8" i="4"/>
  <c r="BG8" i="4"/>
  <c r="BH8" i="4"/>
  <c r="BI8" i="4"/>
  <c r="BJ8" i="4"/>
  <c r="BK8" i="4"/>
  <c r="BL8" i="4"/>
  <c r="BM8" i="4"/>
  <c r="BN8" i="4"/>
  <c r="BO8" i="4"/>
  <c r="BP8" i="4"/>
  <c r="BQ8" i="4"/>
  <c r="BR8" i="4"/>
  <c r="BS8" i="4"/>
  <c r="BT8" i="4"/>
  <c r="BU8" i="4"/>
  <c r="BV8" i="4"/>
  <c r="BW8" i="4"/>
  <c r="BX8" i="4"/>
  <c r="BY8" i="4"/>
  <c r="BZ8" i="4"/>
  <c r="CA8" i="4"/>
  <c r="CB8" i="4"/>
  <c r="CC8" i="4"/>
  <c r="CD8" i="4"/>
  <c r="CE8" i="4"/>
  <c r="CF8" i="4"/>
  <c r="CG8" i="4"/>
  <c r="CH8" i="4"/>
  <c r="CI8" i="4"/>
  <c r="CJ8" i="4"/>
  <c r="CK8" i="4"/>
  <c r="CL8" i="4"/>
  <c r="CM8" i="4"/>
  <c r="CN8" i="4"/>
  <c r="CO8" i="4"/>
  <c r="CP8" i="4"/>
  <c r="CQ8" i="4"/>
  <c r="CR8" i="4"/>
  <c r="CS8" i="4"/>
  <c r="CT8" i="4"/>
  <c r="CU8" i="4"/>
  <c r="CV8" i="4"/>
  <c r="CW8" i="4"/>
  <c r="CX8" i="4"/>
  <c r="CY8" i="4"/>
  <c r="CZ8" i="4"/>
  <c r="DA8" i="4"/>
  <c r="DB8" i="4"/>
  <c r="DC8" i="4"/>
  <c r="DD8" i="4"/>
  <c r="DE8" i="4"/>
  <c r="DF8" i="4"/>
  <c r="DG8" i="4"/>
  <c r="DH8" i="4"/>
  <c r="DI8" i="4"/>
  <c r="DJ8" i="4"/>
  <c r="DK8" i="4"/>
  <c r="DL8" i="4"/>
  <c r="DM8" i="4"/>
  <c r="DN8" i="4"/>
  <c r="DO8" i="4"/>
  <c r="DP8" i="4"/>
  <c r="DQ8" i="4"/>
  <c r="DR8" i="4"/>
  <c r="DS8" i="4"/>
  <c r="DT8" i="4"/>
  <c r="DU8" i="4"/>
  <c r="DV8" i="4"/>
  <c r="DW8" i="4"/>
  <c r="DX8" i="4"/>
  <c r="DY8" i="4"/>
  <c r="DZ8" i="4"/>
  <c r="EA8" i="4"/>
  <c r="EB8" i="4"/>
  <c r="EC8" i="4"/>
  <c r="ED8" i="4"/>
  <c r="EE8" i="4"/>
  <c r="EF8" i="4"/>
  <c r="EG8" i="4"/>
  <c r="EH8" i="4"/>
  <c r="EI8" i="4"/>
  <c r="EJ8" i="4"/>
  <c r="EK8" i="4"/>
  <c r="EL8" i="4"/>
  <c r="EM8" i="4"/>
  <c r="EN8" i="4"/>
  <c r="EO8" i="4"/>
  <c r="EP8" i="4"/>
  <c r="EQ8" i="4"/>
  <c r="ER8" i="4"/>
  <c r="ES8" i="4"/>
  <c r="ET8" i="4"/>
  <c r="EU8" i="4"/>
  <c r="EV8" i="4"/>
  <c r="EW8" i="4"/>
  <c r="EX8" i="4"/>
  <c r="EY8" i="4"/>
  <c r="EZ8" i="4"/>
  <c r="FA8" i="4"/>
  <c r="FB8" i="4"/>
  <c r="FC8" i="4"/>
  <c r="FD8" i="4"/>
  <c r="FE8" i="4"/>
  <c r="FF8" i="4"/>
  <c r="FG8" i="4"/>
  <c r="FH8" i="4"/>
  <c r="FI8" i="4"/>
  <c r="FJ8" i="4"/>
  <c r="FK8" i="4"/>
  <c r="FL8" i="4"/>
  <c r="FM8" i="4"/>
  <c r="FN8" i="4"/>
  <c r="FO8" i="4"/>
  <c r="FP8" i="4"/>
  <c r="FQ8" i="4"/>
  <c r="FR8" i="4"/>
  <c r="FS8" i="4"/>
  <c r="FT8" i="4"/>
  <c r="FU8" i="4"/>
  <c r="FV8" i="4"/>
  <c r="FW8" i="4"/>
  <c r="FX8" i="4"/>
  <c r="FY8" i="4"/>
  <c r="FZ8" i="4"/>
  <c r="GA8" i="4"/>
  <c r="GB8" i="4"/>
  <c r="GC8" i="4"/>
  <c r="GD8" i="4"/>
  <c r="GE8" i="4"/>
  <c r="GF8" i="4"/>
  <c r="GG8" i="4"/>
  <c r="GH8" i="4"/>
  <c r="GI8" i="4"/>
  <c r="GJ8" i="4"/>
  <c r="GK8" i="4"/>
  <c r="GL8" i="4"/>
  <c r="GM8" i="4"/>
  <c r="GN8" i="4"/>
  <c r="GO8" i="4"/>
  <c r="GP8" i="4"/>
  <c r="GQ8" i="4"/>
  <c r="GR8" i="4"/>
  <c r="GS8" i="4"/>
  <c r="GT8" i="4"/>
  <c r="GU8" i="4"/>
  <c r="GV8" i="4"/>
  <c r="GW8" i="4"/>
  <c r="GX8" i="4"/>
  <c r="GY8" i="4"/>
  <c r="GZ8" i="4"/>
  <c r="HA8" i="4"/>
  <c r="HB8" i="4"/>
  <c r="HC8" i="4"/>
  <c r="HD8" i="4"/>
  <c r="HE8" i="4"/>
  <c r="HF8" i="4"/>
  <c r="HG8" i="4"/>
  <c r="HH8" i="4"/>
  <c r="HI8" i="4"/>
  <c r="HJ8" i="4"/>
  <c r="HK8" i="4"/>
  <c r="HL8" i="4"/>
  <c r="HM8" i="4"/>
  <c r="HN8" i="4"/>
  <c r="HO8" i="4"/>
  <c r="HP8" i="4"/>
  <c r="HQ8" i="4"/>
  <c r="HR8" i="4"/>
  <c r="HS8" i="4"/>
  <c r="HT8" i="4"/>
  <c r="HU8" i="4"/>
  <c r="HV8" i="4"/>
  <c r="HW8" i="4"/>
  <c r="HX8" i="4"/>
  <c r="HY8" i="4"/>
  <c r="HZ8" i="4"/>
  <c r="IA8" i="4"/>
  <c r="IB8" i="4"/>
  <c r="IC8" i="4"/>
  <c r="ID8" i="4"/>
  <c r="IE8" i="4"/>
  <c r="IF8" i="4"/>
  <c r="IG8" i="4"/>
  <c r="IH8" i="4"/>
  <c r="II8" i="4"/>
  <c r="IJ8" i="4"/>
  <c r="IK8" i="4"/>
  <c r="IL8" i="4"/>
  <c r="IM8" i="4"/>
  <c r="IN8" i="4"/>
  <c r="IO8" i="4"/>
  <c r="IP8" i="4"/>
  <c r="IQ8" i="4"/>
  <c r="IR8" i="4"/>
  <c r="IS8" i="4"/>
  <c r="IT8" i="4"/>
  <c r="IU8" i="4"/>
  <c r="IV8" i="4"/>
  <c r="A9" i="4"/>
  <c r="B9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T9" i="4"/>
  <c r="U9" i="4"/>
  <c r="V9" i="4"/>
  <c r="W9" i="4"/>
  <c r="X9" i="4"/>
  <c r="Y9" i="4"/>
  <c r="Z9" i="4"/>
  <c r="AA9" i="4"/>
  <c r="AB9" i="4"/>
  <c r="AC9" i="4"/>
  <c r="AD9" i="4"/>
  <c r="AE9" i="4"/>
  <c r="AF9" i="4"/>
  <c r="AG9" i="4"/>
  <c r="AH9" i="4"/>
  <c r="AI9" i="4"/>
  <c r="AJ9" i="4"/>
  <c r="AK9" i="4"/>
  <c r="AL9" i="4"/>
  <c r="AM9" i="4"/>
  <c r="AN9" i="4"/>
  <c r="AO9" i="4"/>
  <c r="AP9" i="4"/>
  <c r="AQ9" i="4"/>
  <c r="AR9" i="4"/>
  <c r="AS9" i="4"/>
  <c r="AT9" i="4"/>
  <c r="AU9" i="4"/>
  <c r="AV9" i="4"/>
  <c r="AW9" i="4"/>
  <c r="AX9" i="4"/>
  <c r="AY9" i="4"/>
  <c r="AZ9" i="4"/>
  <c r="BA9" i="4"/>
  <c r="BB9" i="4"/>
  <c r="BC9" i="4"/>
  <c r="BD9" i="4"/>
  <c r="BE9" i="4"/>
  <c r="BF9" i="4"/>
  <c r="BG9" i="4"/>
  <c r="BH9" i="4"/>
  <c r="BI9" i="4"/>
  <c r="BJ9" i="4"/>
  <c r="BK9" i="4"/>
  <c r="BL9" i="4"/>
  <c r="BM9" i="4"/>
  <c r="BN9" i="4"/>
  <c r="BO9" i="4"/>
  <c r="BP9" i="4"/>
  <c r="BQ9" i="4"/>
  <c r="BR9" i="4"/>
  <c r="BS9" i="4"/>
  <c r="BT9" i="4"/>
  <c r="BU9" i="4"/>
  <c r="BV9" i="4"/>
  <c r="BW9" i="4"/>
  <c r="BX9" i="4"/>
  <c r="BY9" i="4"/>
  <c r="BZ9" i="4"/>
  <c r="CA9" i="4"/>
  <c r="CB9" i="4"/>
  <c r="CC9" i="4"/>
  <c r="CD9" i="4"/>
  <c r="CE9" i="4"/>
  <c r="CF9" i="4"/>
  <c r="CG9" i="4"/>
  <c r="CH9" i="4"/>
  <c r="CI9" i="4"/>
  <c r="CJ9" i="4"/>
  <c r="CK9" i="4"/>
  <c r="CL9" i="4"/>
  <c r="CM9" i="4"/>
  <c r="CN9" i="4"/>
  <c r="CO9" i="4"/>
  <c r="CP9" i="4"/>
  <c r="CQ9" i="4"/>
  <c r="CR9" i="4"/>
  <c r="CS9" i="4"/>
  <c r="CT9" i="4"/>
  <c r="CU9" i="4"/>
  <c r="CV9" i="4"/>
  <c r="CW9" i="4"/>
  <c r="CX9" i="4"/>
  <c r="CY9" i="4"/>
  <c r="CZ9" i="4"/>
  <c r="DA9" i="4"/>
  <c r="DB9" i="4"/>
  <c r="DC9" i="4"/>
  <c r="DD9" i="4"/>
  <c r="DE9" i="4"/>
  <c r="DF9" i="4"/>
  <c r="DG9" i="4"/>
  <c r="DH9" i="4"/>
  <c r="DI9" i="4"/>
  <c r="DJ9" i="4"/>
  <c r="DK9" i="4"/>
  <c r="DL9" i="4"/>
  <c r="DM9" i="4"/>
  <c r="DN9" i="4"/>
  <c r="DO9" i="4"/>
  <c r="DP9" i="4"/>
  <c r="DQ9" i="4"/>
  <c r="DR9" i="4"/>
  <c r="DS9" i="4"/>
  <c r="DT9" i="4"/>
  <c r="DU9" i="4"/>
  <c r="DV9" i="4"/>
  <c r="DW9" i="4"/>
  <c r="DX9" i="4"/>
  <c r="DY9" i="4"/>
  <c r="DZ9" i="4"/>
  <c r="EA9" i="4"/>
  <c r="EB9" i="4"/>
  <c r="EC9" i="4"/>
  <c r="ED9" i="4"/>
  <c r="EE9" i="4"/>
  <c r="EF9" i="4"/>
  <c r="EG9" i="4"/>
  <c r="EH9" i="4"/>
  <c r="EI9" i="4"/>
  <c r="EJ9" i="4"/>
  <c r="EK9" i="4"/>
  <c r="EL9" i="4"/>
  <c r="EM9" i="4"/>
  <c r="EN9" i="4"/>
  <c r="EO9" i="4"/>
  <c r="EP9" i="4"/>
  <c r="EQ9" i="4"/>
  <c r="ER9" i="4"/>
  <c r="ES9" i="4"/>
  <c r="ET9" i="4"/>
  <c r="EU9" i="4"/>
  <c r="EV9" i="4"/>
  <c r="EW9" i="4"/>
  <c r="EX9" i="4"/>
  <c r="EY9" i="4"/>
  <c r="EZ9" i="4"/>
  <c r="FA9" i="4"/>
  <c r="FB9" i="4"/>
  <c r="FC9" i="4"/>
  <c r="FD9" i="4"/>
  <c r="FE9" i="4"/>
  <c r="FF9" i="4"/>
  <c r="FG9" i="4"/>
  <c r="FH9" i="4"/>
  <c r="FI9" i="4"/>
  <c r="FJ9" i="4"/>
  <c r="FK9" i="4"/>
  <c r="FL9" i="4"/>
  <c r="FM9" i="4"/>
  <c r="FN9" i="4"/>
  <c r="FO9" i="4"/>
  <c r="FP9" i="4"/>
  <c r="FQ9" i="4"/>
  <c r="FR9" i="4"/>
  <c r="FS9" i="4"/>
  <c r="FT9" i="4"/>
  <c r="FU9" i="4"/>
  <c r="FV9" i="4"/>
  <c r="FW9" i="4"/>
  <c r="FX9" i="4"/>
  <c r="FY9" i="4"/>
  <c r="FZ9" i="4"/>
  <c r="GA9" i="4"/>
  <c r="GB9" i="4"/>
  <c r="GC9" i="4"/>
  <c r="GD9" i="4"/>
  <c r="GE9" i="4"/>
  <c r="GF9" i="4"/>
  <c r="GG9" i="4"/>
  <c r="GH9" i="4"/>
  <c r="GI9" i="4"/>
  <c r="GJ9" i="4"/>
  <c r="GK9" i="4"/>
  <c r="GL9" i="4"/>
  <c r="GM9" i="4"/>
  <c r="GN9" i="4"/>
  <c r="GO9" i="4"/>
  <c r="GP9" i="4"/>
  <c r="GQ9" i="4"/>
  <c r="GR9" i="4"/>
  <c r="GS9" i="4"/>
  <c r="GT9" i="4"/>
  <c r="GU9" i="4"/>
  <c r="GV9" i="4"/>
  <c r="GW9" i="4"/>
  <c r="GX9" i="4"/>
  <c r="GY9" i="4"/>
  <c r="GZ9" i="4"/>
  <c r="HA9" i="4"/>
  <c r="HB9" i="4"/>
  <c r="HC9" i="4"/>
  <c r="HD9" i="4"/>
  <c r="HE9" i="4"/>
  <c r="HF9" i="4"/>
  <c r="HG9" i="4"/>
  <c r="HH9" i="4"/>
  <c r="HI9" i="4"/>
  <c r="HJ9" i="4"/>
  <c r="HK9" i="4"/>
  <c r="HL9" i="4"/>
  <c r="HM9" i="4"/>
  <c r="HN9" i="4"/>
  <c r="HO9" i="4"/>
  <c r="HP9" i="4"/>
  <c r="HQ9" i="4"/>
  <c r="HR9" i="4"/>
  <c r="HS9" i="4"/>
  <c r="HT9" i="4"/>
  <c r="HU9" i="4"/>
  <c r="HV9" i="4"/>
  <c r="HW9" i="4"/>
  <c r="HX9" i="4"/>
  <c r="HY9" i="4"/>
  <c r="HZ9" i="4"/>
  <c r="IA9" i="4"/>
  <c r="IB9" i="4"/>
  <c r="IC9" i="4"/>
  <c r="ID9" i="4"/>
  <c r="IE9" i="4"/>
  <c r="IF9" i="4"/>
  <c r="IG9" i="4"/>
  <c r="IH9" i="4"/>
  <c r="II9" i="4"/>
  <c r="IJ9" i="4"/>
  <c r="IK9" i="4"/>
  <c r="IL9" i="4"/>
  <c r="IM9" i="4"/>
  <c r="IN9" i="4"/>
  <c r="IO9" i="4"/>
  <c r="IP9" i="4"/>
  <c r="IQ9" i="4"/>
  <c r="IR9" i="4"/>
  <c r="IS9" i="4"/>
  <c r="IT9" i="4"/>
  <c r="IU9" i="4"/>
  <c r="IV9" i="4"/>
  <c r="A10" i="4"/>
  <c r="B10" i="4"/>
  <c r="C10" i="4"/>
  <c r="D10" i="4"/>
  <c r="E10" i="4"/>
  <c r="F10" i="4"/>
  <c r="G10" i="4"/>
  <c r="H10" i="4"/>
  <c r="I10" i="4"/>
  <c r="A11" i="4"/>
  <c r="A12" i="4"/>
  <c r="A13" i="4"/>
  <c r="A14" i="4"/>
  <c r="B14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V14" i="4"/>
  <c r="W14" i="4"/>
  <c r="X14" i="4"/>
  <c r="Y14" i="4"/>
  <c r="Z14" i="4"/>
  <c r="AA14" i="4"/>
  <c r="AB14" i="4"/>
  <c r="AC14" i="4"/>
  <c r="AD14" i="4"/>
  <c r="AE14" i="4"/>
  <c r="AF14" i="4"/>
  <c r="AG14" i="4"/>
  <c r="AH14" i="4"/>
  <c r="AI14" i="4"/>
  <c r="AJ14" i="4"/>
  <c r="AK14" i="4"/>
  <c r="AL14" i="4"/>
  <c r="AM14" i="4"/>
  <c r="AN14" i="4"/>
  <c r="AO14" i="4"/>
  <c r="AP14" i="4"/>
  <c r="AQ14" i="4"/>
  <c r="AR14" i="4"/>
  <c r="AS14" i="4"/>
  <c r="AT14" i="4"/>
  <c r="AU14" i="4"/>
  <c r="AV14" i="4"/>
  <c r="AW14" i="4"/>
  <c r="AX14" i="4"/>
  <c r="AY14" i="4"/>
  <c r="AZ14" i="4"/>
  <c r="BA14" i="4"/>
  <c r="BB14" i="4"/>
  <c r="BC14" i="4"/>
  <c r="BD14" i="4"/>
  <c r="BE14" i="4"/>
  <c r="BF14" i="4"/>
  <c r="BG14" i="4"/>
  <c r="BH14" i="4"/>
  <c r="BI14" i="4"/>
  <c r="BJ14" i="4"/>
  <c r="BK14" i="4"/>
  <c r="BL14" i="4"/>
  <c r="BM14" i="4"/>
  <c r="BN14" i="4"/>
  <c r="BO14" i="4"/>
  <c r="BP14" i="4"/>
  <c r="BQ14" i="4"/>
  <c r="BR14" i="4"/>
  <c r="BS14" i="4"/>
  <c r="BT14" i="4"/>
  <c r="BU14" i="4"/>
  <c r="BV14" i="4"/>
  <c r="BW14" i="4"/>
  <c r="BX14" i="4"/>
  <c r="BY14" i="4"/>
  <c r="BZ14" i="4"/>
  <c r="CA14" i="4"/>
  <c r="CB14" i="4"/>
  <c r="CC14" i="4"/>
  <c r="CD14" i="4"/>
  <c r="CE14" i="4"/>
  <c r="CF14" i="4"/>
  <c r="CG14" i="4"/>
  <c r="CH14" i="4"/>
  <c r="CI14" i="4"/>
  <c r="CJ14" i="4"/>
  <c r="CK14" i="4"/>
  <c r="CL14" i="4"/>
  <c r="CM14" i="4"/>
  <c r="CN14" i="4"/>
  <c r="CO14" i="4"/>
  <c r="CP14" i="4"/>
  <c r="CQ14" i="4"/>
  <c r="CR14" i="4"/>
  <c r="CS14" i="4"/>
  <c r="CT14" i="4"/>
  <c r="CU14" i="4"/>
  <c r="CV14" i="4"/>
  <c r="CW14" i="4"/>
  <c r="CX14" i="4"/>
  <c r="CY14" i="4"/>
  <c r="CZ14" i="4"/>
  <c r="DA14" i="4"/>
  <c r="DB14" i="4"/>
  <c r="DC14" i="4"/>
  <c r="DD14" i="4"/>
  <c r="DE14" i="4"/>
  <c r="DF14" i="4"/>
  <c r="DG14" i="4"/>
  <c r="DH14" i="4"/>
  <c r="DI14" i="4"/>
  <c r="DJ14" i="4"/>
  <c r="DK14" i="4"/>
  <c r="DL14" i="4"/>
  <c r="DM14" i="4"/>
  <c r="DN14" i="4"/>
  <c r="DO14" i="4"/>
  <c r="DP14" i="4"/>
  <c r="DQ14" i="4"/>
  <c r="DR14" i="4"/>
  <c r="DS14" i="4"/>
  <c r="DT14" i="4"/>
  <c r="DU14" i="4"/>
  <c r="DV14" i="4"/>
  <c r="DW14" i="4"/>
  <c r="DX14" i="4"/>
  <c r="DY14" i="4"/>
  <c r="DZ14" i="4"/>
  <c r="EA14" i="4"/>
  <c r="EB14" i="4"/>
  <c r="EC14" i="4"/>
  <c r="ED14" i="4"/>
  <c r="EE14" i="4"/>
  <c r="EF14" i="4"/>
  <c r="EG14" i="4"/>
  <c r="EH14" i="4"/>
  <c r="EI14" i="4"/>
  <c r="EJ14" i="4"/>
  <c r="EK14" i="4"/>
  <c r="EL14" i="4"/>
  <c r="EM14" i="4"/>
  <c r="EN14" i="4"/>
  <c r="EO14" i="4"/>
  <c r="EP14" i="4"/>
  <c r="EQ14" i="4"/>
  <c r="ER14" i="4"/>
  <c r="ES14" i="4"/>
  <c r="ET14" i="4"/>
  <c r="EU14" i="4"/>
  <c r="EV14" i="4"/>
  <c r="EW14" i="4"/>
  <c r="EX14" i="4"/>
  <c r="EY14" i="4"/>
  <c r="EZ14" i="4"/>
  <c r="FA14" i="4"/>
  <c r="FB14" i="4"/>
  <c r="FC14" i="4"/>
  <c r="FD14" i="4"/>
  <c r="FE14" i="4"/>
  <c r="FF14" i="4"/>
  <c r="FG14" i="4"/>
  <c r="FH14" i="4"/>
  <c r="FI14" i="4"/>
  <c r="FJ14" i="4"/>
  <c r="FK14" i="4"/>
  <c r="FL14" i="4"/>
  <c r="FM14" i="4"/>
  <c r="FN14" i="4"/>
  <c r="FO14" i="4"/>
  <c r="FP14" i="4"/>
  <c r="FQ14" i="4"/>
  <c r="FR14" i="4"/>
  <c r="FS14" i="4"/>
  <c r="FT14" i="4"/>
  <c r="FU14" i="4"/>
  <c r="FV14" i="4"/>
  <c r="FW14" i="4"/>
  <c r="FX14" i="4"/>
  <c r="FY14" i="4"/>
  <c r="FZ14" i="4"/>
  <c r="GA14" i="4"/>
  <c r="GB14" i="4"/>
  <c r="GC14" i="4"/>
  <c r="GD14" i="4"/>
  <c r="GE14" i="4"/>
  <c r="GF14" i="4"/>
  <c r="GG14" i="4"/>
  <c r="GH14" i="4"/>
  <c r="GI14" i="4"/>
  <c r="GJ14" i="4"/>
  <c r="GK14" i="4"/>
  <c r="GL14" i="4"/>
  <c r="GM14" i="4"/>
  <c r="GN14" i="4"/>
  <c r="GO14" i="4"/>
  <c r="GP14" i="4"/>
  <c r="GQ14" i="4"/>
  <c r="GR14" i="4"/>
  <c r="GS14" i="4"/>
  <c r="GT14" i="4"/>
  <c r="GU14" i="4"/>
  <c r="GV14" i="4"/>
  <c r="GW14" i="4"/>
  <c r="GX14" i="4"/>
  <c r="GY14" i="4"/>
  <c r="GZ14" i="4"/>
  <c r="HA14" i="4"/>
  <c r="HB14" i="4"/>
  <c r="HC14" i="4"/>
  <c r="HD14" i="4"/>
  <c r="HE14" i="4"/>
  <c r="HF14" i="4"/>
  <c r="HG14" i="4"/>
  <c r="HH14" i="4"/>
  <c r="HI14" i="4"/>
  <c r="HJ14" i="4"/>
  <c r="HK14" i="4"/>
  <c r="HL14" i="4"/>
  <c r="HM14" i="4"/>
  <c r="HN14" i="4"/>
  <c r="HO14" i="4"/>
  <c r="HP14" i="4"/>
  <c r="HQ14" i="4"/>
  <c r="HR14" i="4"/>
  <c r="HS14" i="4"/>
  <c r="HT14" i="4"/>
  <c r="HU14" i="4"/>
  <c r="HV14" i="4"/>
  <c r="HW14" i="4"/>
  <c r="HX14" i="4"/>
  <c r="HY14" i="4"/>
  <c r="HZ14" i="4"/>
  <c r="IA14" i="4"/>
  <c r="IB14" i="4"/>
  <c r="IC14" i="4"/>
  <c r="ID14" i="4"/>
  <c r="IE14" i="4"/>
  <c r="IF14" i="4"/>
  <c r="IG14" i="4"/>
  <c r="IH14" i="4"/>
  <c r="II14" i="4"/>
  <c r="IJ14" i="4"/>
  <c r="IK14" i="4"/>
  <c r="IL14" i="4"/>
  <c r="IM14" i="4"/>
  <c r="IN14" i="4"/>
  <c r="IO14" i="4"/>
  <c r="IP14" i="4"/>
  <c r="IQ14" i="4"/>
  <c r="IR14" i="4"/>
  <c r="IS14" i="4"/>
  <c r="IT14" i="4"/>
  <c r="IU14" i="4"/>
  <c r="IV14" i="4"/>
  <c r="A15" i="4"/>
  <c r="B15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T15" i="4"/>
  <c r="U15" i="4"/>
  <c r="V15" i="4"/>
  <c r="W15" i="4"/>
  <c r="X15" i="4"/>
  <c r="Y15" i="4"/>
  <c r="Z15" i="4"/>
  <c r="AA15" i="4"/>
  <c r="AB15" i="4"/>
  <c r="AC15" i="4"/>
  <c r="AD15" i="4"/>
  <c r="AE15" i="4"/>
  <c r="AF15" i="4"/>
  <c r="AG15" i="4"/>
  <c r="AH15" i="4"/>
  <c r="AI15" i="4"/>
  <c r="AJ15" i="4"/>
  <c r="AK15" i="4"/>
  <c r="AL15" i="4"/>
  <c r="AM15" i="4"/>
  <c r="AN15" i="4"/>
  <c r="AO15" i="4"/>
  <c r="AP15" i="4"/>
  <c r="AQ15" i="4"/>
  <c r="AR15" i="4"/>
  <c r="AS15" i="4"/>
  <c r="AT15" i="4"/>
  <c r="AU15" i="4"/>
  <c r="AV15" i="4"/>
  <c r="AW15" i="4"/>
  <c r="AX15" i="4"/>
  <c r="AY15" i="4"/>
  <c r="AZ15" i="4"/>
  <c r="BA15" i="4"/>
  <c r="BB15" i="4"/>
  <c r="BC15" i="4"/>
  <c r="BD15" i="4"/>
  <c r="BE15" i="4"/>
  <c r="BF15" i="4"/>
  <c r="BG15" i="4"/>
  <c r="BH15" i="4"/>
  <c r="BI15" i="4"/>
  <c r="BJ15" i="4"/>
  <c r="BK15" i="4"/>
  <c r="BL15" i="4"/>
  <c r="BM15" i="4"/>
  <c r="BN15" i="4"/>
  <c r="BO15" i="4"/>
  <c r="BP15" i="4"/>
  <c r="BQ15" i="4"/>
  <c r="BR15" i="4"/>
  <c r="BS15" i="4"/>
  <c r="BT15" i="4"/>
  <c r="BU15" i="4"/>
  <c r="BV15" i="4"/>
  <c r="BW15" i="4"/>
  <c r="BX15" i="4"/>
  <c r="BY15" i="4"/>
  <c r="BZ15" i="4"/>
  <c r="CA15" i="4"/>
  <c r="CB15" i="4"/>
  <c r="CC15" i="4"/>
  <c r="CD15" i="4"/>
  <c r="CE15" i="4"/>
  <c r="CF15" i="4"/>
  <c r="CG15" i="4"/>
  <c r="CH15" i="4"/>
  <c r="CI15" i="4"/>
  <c r="CJ15" i="4"/>
  <c r="CK15" i="4"/>
  <c r="CL15" i="4"/>
  <c r="CM15" i="4"/>
  <c r="CN15" i="4"/>
  <c r="CO15" i="4"/>
  <c r="CP15" i="4"/>
  <c r="CQ15" i="4"/>
  <c r="CR15" i="4"/>
  <c r="CS15" i="4"/>
  <c r="CT15" i="4"/>
  <c r="CU15" i="4"/>
  <c r="CV15" i="4"/>
  <c r="CW15" i="4"/>
  <c r="CX15" i="4"/>
  <c r="CY15" i="4"/>
  <c r="CZ15" i="4"/>
  <c r="DA15" i="4"/>
  <c r="DB15" i="4"/>
  <c r="DC15" i="4"/>
  <c r="DD15" i="4"/>
  <c r="DE15" i="4"/>
  <c r="DF15" i="4"/>
  <c r="DG15" i="4"/>
  <c r="DH15" i="4"/>
  <c r="DI15" i="4"/>
  <c r="DJ15" i="4"/>
  <c r="DK15" i="4"/>
  <c r="DL15" i="4"/>
  <c r="DM15" i="4"/>
  <c r="DN15" i="4"/>
  <c r="DO15" i="4"/>
  <c r="DP15" i="4"/>
  <c r="DQ15" i="4"/>
  <c r="DR15" i="4"/>
  <c r="DS15" i="4"/>
  <c r="DT15" i="4"/>
  <c r="DU15" i="4"/>
  <c r="DV15" i="4"/>
  <c r="DW15" i="4"/>
  <c r="DX15" i="4"/>
  <c r="DY15" i="4"/>
  <c r="DZ15" i="4"/>
  <c r="EA15" i="4"/>
  <c r="EB15" i="4"/>
  <c r="EC15" i="4"/>
  <c r="ED15" i="4"/>
  <c r="EE15" i="4"/>
  <c r="EF15" i="4"/>
  <c r="EG15" i="4"/>
  <c r="EH15" i="4"/>
  <c r="EI15" i="4"/>
  <c r="EJ15" i="4"/>
  <c r="EK15" i="4"/>
  <c r="EL15" i="4"/>
  <c r="EM15" i="4"/>
  <c r="EN15" i="4"/>
  <c r="EO15" i="4"/>
  <c r="EP15" i="4"/>
  <c r="EQ15" i="4"/>
  <c r="ER15" i="4"/>
  <c r="ES15" i="4"/>
  <c r="ET15" i="4"/>
  <c r="EU15" i="4"/>
  <c r="EV15" i="4"/>
  <c r="EW15" i="4"/>
  <c r="EX15" i="4"/>
  <c r="EY15" i="4"/>
  <c r="EZ15" i="4"/>
  <c r="FA15" i="4"/>
  <c r="FB15" i="4"/>
  <c r="FC15" i="4"/>
  <c r="FD15" i="4"/>
  <c r="FE15" i="4"/>
  <c r="FF15" i="4"/>
  <c r="FG15" i="4"/>
  <c r="FH15" i="4"/>
  <c r="FI15" i="4"/>
  <c r="FJ15" i="4"/>
  <c r="FK15" i="4"/>
  <c r="FL15" i="4"/>
  <c r="FM15" i="4"/>
  <c r="FN15" i="4"/>
  <c r="FO15" i="4"/>
  <c r="FP15" i="4"/>
  <c r="FQ15" i="4"/>
  <c r="FR15" i="4"/>
  <c r="FS15" i="4"/>
  <c r="FT15" i="4"/>
  <c r="FU15" i="4"/>
  <c r="FV15" i="4"/>
  <c r="FW15" i="4"/>
  <c r="FX15" i="4"/>
  <c r="FY15" i="4"/>
  <c r="FZ15" i="4"/>
  <c r="GA15" i="4"/>
  <c r="GB15" i="4"/>
  <c r="GC15" i="4"/>
  <c r="GD15" i="4"/>
  <c r="GE15" i="4"/>
  <c r="GF15" i="4"/>
  <c r="GG15" i="4"/>
  <c r="GH15" i="4"/>
  <c r="GI15" i="4"/>
  <c r="GJ15" i="4"/>
  <c r="GK15" i="4"/>
  <c r="GL15" i="4"/>
  <c r="GM15" i="4"/>
  <c r="GN15" i="4"/>
  <c r="GO15" i="4"/>
  <c r="GP15" i="4"/>
  <c r="GQ15" i="4"/>
  <c r="GR15" i="4"/>
  <c r="GS15" i="4"/>
  <c r="GT15" i="4"/>
  <c r="GU15" i="4"/>
  <c r="GV15" i="4"/>
  <c r="GW15" i="4"/>
  <c r="GX15" i="4"/>
  <c r="GY15" i="4"/>
  <c r="GZ15" i="4"/>
  <c r="HA15" i="4"/>
  <c r="HB15" i="4"/>
  <c r="HC15" i="4"/>
  <c r="HD15" i="4"/>
  <c r="HE15" i="4"/>
  <c r="HF15" i="4"/>
  <c r="HG15" i="4"/>
  <c r="HH15" i="4"/>
  <c r="HI15" i="4"/>
  <c r="HJ15" i="4"/>
  <c r="HK15" i="4"/>
  <c r="HL15" i="4"/>
  <c r="HM15" i="4"/>
  <c r="HN15" i="4"/>
  <c r="HO15" i="4"/>
  <c r="HP15" i="4"/>
  <c r="HQ15" i="4"/>
  <c r="HR15" i="4"/>
  <c r="HS15" i="4"/>
  <c r="HT15" i="4"/>
  <c r="HU15" i="4"/>
  <c r="HV15" i="4"/>
  <c r="HW15" i="4"/>
  <c r="HX15" i="4"/>
  <c r="HY15" i="4"/>
  <c r="HZ15" i="4"/>
  <c r="IA15" i="4"/>
  <c r="IB15" i="4"/>
  <c r="IC15" i="4"/>
  <c r="ID15" i="4"/>
  <c r="IE15" i="4"/>
  <c r="IF15" i="4"/>
  <c r="IG15" i="4"/>
  <c r="IH15" i="4"/>
  <c r="II15" i="4"/>
  <c r="IJ15" i="4"/>
  <c r="IK15" i="4"/>
  <c r="IL15" i="4"/>
  <c r="IM15" i="4"/>
  <c r="IN15" i="4"/>
  <c r="IO15" i="4"/>
  <c r="IP15" i="4"/>
  <c r="IQ15" i="4"/>
  <c r="IR15" i="4"/>
  <c r="IS15" i="4"/>
  <c r="IT15" i="4"/>
  <c r="IU15" i="4"/>
  <c r="IV15" i="4"/>
  <c r="A16" i="4"/>
  <c r="B16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T16" i="4"/>
  <c r="U16" i="4"/>
  <c r="V16" i="4"/>
  <c r="W16" i="4"/>
  <c r="X16" i="4"/>
  <c r="Y16" i="4"/>
  <c r="Z16" i="4"/>
  <c r="AA16" i="4"/>
  <c r="AB16" i="4"/>
  <c r="AC16" i="4"/>
  <c r="AD16" i="4"/>
  <c r="AE16" i="4"/>
  <c r="AF16" i="4"/>
  <c r="AG16" i="4"/>
  <c r="AH16" i="4"/>
  <c r="AI16" i="4"/>
  <c r="AJ16" i="4"/>
  <c r="AK16" i="4"/>
  <c r="AL16" i="4"/>
  <c r="AM16" i="4"/>
  <c r="AN16" i="4"/>
  <c r="AO16" i="4"/>
  <c r="AP16" i="4"/>
  <c r="AQ16" i="4"/>
  <c r="AR16" i="4"/>
  <c r="AS16" i="4"/>
  <c r="AT16" i="4"/>
  <c r="AU16" i="4"/>
  <c r="AV16" i="4"/>
  <c r="AW16" i="4"/>
  <c r="AX16" i="4"/>
  <c r="AY16" i="4"/>
  <c r="AZ16" i="4"/>
  <c r="BA16" i="4"/>
  <c r="BB16" i="4"/>
  <c r="BC16" i="4"/>
  <c r="BD16" i="4"/>
  <c r="BE16" i="4"/>
  <c r="BF16" i="4"/>
  <c r="BG16" i="4"/>
  <c r="BH16" i="4"/>
  <c r="BI16" i="4"/>
  <c r="BJ16" i="4"/>
  <c r="BK16" i="4"/>
  <c r="BL16" i="4"/>
  <c r="BM16" i="4"/>
  <c r="BN16" i="4"/>
  <c r="BO16" i="4"/>
  <c r="BP16" i="4"/>
  <c r="BQ16" i="4"/>
  <c r="BR16" i="4"/>
  <c r="BS16" i="4"/>
  <c r="BT16" i="4"/>
  <c r="BU16" i="4"/>
  <c r="BV16" i="4"/>
  <c r="BW16" i="4"/>
  <c r="BX16" i="4"/>
  <c r="BY16" i="4"/>
  <c r="BZ16" i="4"/>
  <c r="CA16" i="4"/>
  <c r="CB16" i="4"/>
  <c r="CC16" i="4"/>
  <c r="CD16" i="4"/>
  <c r="CE16" i="4"/>
  <c r="CF16" i="4"/>
  <c r="CG16" i="4"/>
  <c r="CH16" i="4"/>
  <c r="CI16" i="4"/>
  <c r="CJ16" i="4"/>
  <c r="CK16" i="4"/>
  <c r="CL16" i="4"/>
  <c r="CM16" i="4"/>
  <c r="CN16" i="4"/>
  <c r="CO16" i="4"/>
  <c r="CP16" i="4"/>
  <c r="CQ16" i="4"/>
  <c r="CR16" i="4"/>
  <c r="CS16" i="4"/>
  <c r="CT16" i="4"/>
  <c r="CU16" i="4"/>
  <c r="CV16" i="4"/>
  <c r="CW16" i="4"/>
  <c r="CX16" i="4"/>
  <c r="CY16" i="4"/>
  <c r="CZ16" i="4"/>
  <c r="DA16" i="4"/>
  <c r="DB16" i="4"/>
  <c r="DC16" i="4"/>
  <c r="DD16" i="4"/>
  <c r="DE16" i="4"/>
  <c r="DF16" i="4"/>
  <c r="DG16" i="4"/>
  <c r="DH16" i="4"/>
  <c r="DI16" i="4"/>
  <c r="DJ16" i="4"/>
  <c r="DK16" i="4"/>
  <c r="DL16" i="4"/>
  <c r="DM16" i="4"/>
  <c r="DN16" i="4"/>
  <c r="DO16" i="4"/>
  <c r="DP16" i="4"/>
  <c r="DQ16" i="4"/>
  <c r="DR16" i="4"/>
  <c r="DS16" i="4"/>
  <c r="DT16" i="4"/>
  <c r="DU16" i="4"/>
  <c r="DV16" i="4"/>
  <c r="DW16" i="4"/>
  <c r="DX16" i="4"/>
  <c r="DY16" i="4"/>
  <c r="DZ16" i="4"/>
  <c r="EA16" i="4"/>
  <c r="EB16" i="4"/>
  <c r="EC16" i="4"/>
  <c r="ED16" i="4"/>
  <c r="EE16" i="4"/>
  <c r="EF16" i="4"/>
  <c r="EG16" i="4"/>
  <c r="EH16" i="4"/>
  <c r="EI16" i="4"/>
  <c r="EJ16" i="4"/>
  <c r="EK16" i="4"/>
  <c r="EL16" i="4"/>
  <c r="EM16" i="4"/>
  <c r="EN16" i="4"/>
  <c r="EO16" i="4"/>
  <c r="EP16" i="4"/>
  <c r="EQ16" i="4"/>
  <c r="ER16" i="4"/>
  <c r="ES16" i="4"/>
  <c r="ET16" i="4"/>
  <c r="EU16" i="4"/>
  <c r="EV16" i="4"/>
  <c r="EW16" i="4"/>
  <c r="EX16" i="4"/>
  <c r="EY16" i="4"/>
  <c r="EZ16" i="4"/>
  <c r="FA16" i="4"/>
  <c r="FB16" i="4"/>
  <c r="FC16" i="4"/>
  <c r="FD16" i="4"/>
  <c r="FE16" i="4"/>
  <c r="FF16" i="4"/>
  <c r="FG16" i="4"/>
  <c r="FH16" i="4"/>
  <c r="FI16" i="4"/>
  <c r="FJ16" i="4"/>
  <c r="FK16" i="4"/>
  <c r="FL16" i="4"/>
  <c r="FM16" i="4"/>
  <c r="FN16" i="4"/>
  <c r="FO16" i="4"/>
  <c r="FP16" i="4"/>
  <c r="FQ16" i="4"/>
  <c r="FR16" i="4"/>
  <c r="FS16" i="4"/>
  <c r="FT16" i="4"/>
  <c r="FU16" i="4"/>
  <c r="FV16" i="4"/>
  <c r="FW16" i="4"/>
  <c r="FX16" i="4"/>
  <c r="FY16" i="4"/>
  <c r="FZ16" i="4"/>
  <c r="GA16" i="4"/>
  <c r="GB16" i="4"/>
  <c r="GC16" i="4"/>
  <c r="GD16" i="4"/>
  <c r="GE16" i="4"/>
  <c r="GF16" i="4"/>
  <c r="GG16" i="4"/>
  <c r="GH16" i="4"/>
  <c r="GI16" i="4"/>
  <c r="GJ16" i="4"/>
  <c r="GK16" i="4"/>
  <c r="GL16" i="4"/>
  <c r="GM16" i="4"/>
  <c r="GN16" i="4"/>
  <c r="GO16" i="4"/>
  <c r="GP16" i="4"/>
  <c r="GQ16" i="4"/>
  <c r="GR16" i="4"/>
  <c r="GS16" i="4"/>
  <c r="GT16" i="4"/>
  <c r="GU16" i="4"/>
  <c r="GV16" i="4"/>
  <c r="GW16" i="4"/>
  <c r="GX16" i="4"/>
  <c r="GY16" i="4"/>
  <c r="GZ16" i="4"/>
  <c r="HA16" i="4"/>
  <c r="HB16" i="4"/>
  <c r="HC16" i="4"/>
  <c r="HD16" i="4"/>
  <c r="HE16" i="4"/>
  <c r="HF16" i="4"/>
  <c r="HG16" i="4"/>
  <c r="HH16" i="4"/>
  <c r="HI16" i="4"/>
  <c r="HJ16" i="4"/>
  <c r="HK16" i="4"/>
  <c r="HL16" i="4"/>
  <c r="HM16" i="4"/>
  <c r="HN16" i="4"/>
  <c r="HO16" i="4"/>
  <c r="HP16" i="4"/>
  <c r="HQ16" i="4"/>
  <c r="HR16" i="4"/>
  <c r="HS16" i="4"/>
  <c r="HT16" i="4"/>
  <c r="HU16" i="4"/>
  <c r="HV16" i="4"/>
  <c r="HW16" i="4"/>
  <c r="HX16" i="4"/>
  <c r="HY16" i="4"/>
  <c r="HZ16" i="4"/>
  <c r="IA16" i="4"/>
  <c r="IB16" i="4"/>
  <c r="IC16" i="4"/>
  <c r="ID16" i="4"/>
  <c r="IE16" i="4"/>
  <c r="IF16" i="4"/>
  <c r="IG16" i="4"/>
  <c r="IH16" i="4"/>
  <c r="II16" i="4"/>
  <c r="IJ16" i="4"/>
  <c r="IK16" i="4"/>
  <c r="IL16" i="4"/>
  <c r="IM16" i="4"/>
  <c r="IN16" i="4"/>
  <c r="IO16" i="4"/>
  <c r="IP16" i="4"/>
  <c r="IQ16" i="4"/>
  <c r="IR16" i="4"/>
  <c r="IS16" i="4"/>
  <c r="IT16" i="4"/>
  <c r="IU16" i="4"/>
  <c r="IV16" i="4"/>
  <c r="A17" i="4"/>
  <c r="B17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AH17" i="4"/>
  <c r="AI17" i="4"/>
  <c r="AJ17" i="4"/>
  <c r="AK17" i="4"/>
  <c r="AL17" i="4"/>
  <c r="AM17" i="4"/>
  <c r="AN17" i="4"/>
  <c r="AO17" i="4"/>
  <c r="AP17" i="4"/>
  <c r="AQ17" i="4"/>
  <c r="AR17" i="4"/>
  <c r="AS17" i="4"/>
  <c r="AT17" i="4"/>
  <c r="AU17" i="4"/>
  <c r="AV17" i="4"/>
  <c r="AW17" i="4"/>
  <c r="AX17" i="4"/>
  <c r="AY17" i="4"/>
  <c r="AZ17" i="4"/>
  <c r="BA17" i="4"/>
  <c r="BB17" i="4"/>
  <c r="BC17" i="4"/>
  <c r="BD17" i="4"/>
  <c r="BE17" i="4"/>
  <c r="BF17" i="4"/>
  <c r="BG17" i="4"/>
  <c r="BH17" i="4"/>
  <c r="BI17" i="4"/>
  <c r="BJ17" i="4"/>
  <c r="BK17" i="4"/>
  <c r="BL17" i="4"/>
  <c r="BM17" i="4"/>
  <c r="BN17" i="4"/>
  <c r="BO17" i="4"/>
  <c r="BP17" i="4"/>
  <c r="BQ17" i="4"/>
  <c r="BR17" i="4"/>
  <c r="BS17" i="4"/>
  <c r="BT17" i="4"/>
  <c r="BU17" i="4"/>
  <c r="BV17" i="4"/>
  <c r="BW17" i="4"/>
  <c r="BX17" i="4"/>
  <c r="BY17" i="4"/>
  <c r="BZ17" i="4"/>
  <c r="CA17" i="4"/>
  <c r="CB17" i="4"/>
  <c r="CC17" i="4"/>
  <c r="CD17" i="4"/>
  <c r="CE17" i="4"/>
  <c r="CF17" i="4"/>
  <c r="CG17" i="4"/>
  <c r="CH17" i="4"/>
  <c r="CI17" i="4"/>
  <c r="CJ17" i="4"/>
  <c r="CK17" i="4"/>
  <c r="CL17" i="4"/>
  <c r="CM17" i="4"/>
  <c r="CN17" i="4"/>
  <c r="CO17" i="4"/>
  <c r="CP17" i="4"/>
  <c r="CQ17" i="4"/>
  <c r="CR17" i="4"/>
  <c r="CS17" i="4"/>
  <c r="CT17" i="4"/>
  <c r="CU17" i="4"/>
  <c r="CV17" i="4"/>
  <c r="CW17" i="4"/>
  <c r="CX17" i="4"/>
  <c r="CY17" i="4"/>
  <c r="CZ17" i="4"/>
  <c r="DA17" i="4"/>
  <c r="DB17" i="4"/>
  <c r="DC17" i="4"/>
  <c r="DD17" i="4"/>
  <c r="DE17" i="4"/>
  <c r="DF17" i="4"/>
  <c r="DG17" i="4"/>
  <c r="DH17" i="4"/>
  <c r="DI17" i="4"/>
  <c r="DJ17" i="4"/>
  <c r="DK17" i="4"/>
  <c r="DL17" i="4"/>
  <c r="DM17" i="4"/>
  <c r="DN17" i="4"/>
  <c r="DO17" i="4"/>
  <c r="DP17" i="4"/>
  <c r="DQ17" i="4"/>
  <c r="DR17" i="4"/>
  <c r="DS17" i="4"/>
  <c r="DT17" i="4"/>
  <c r="DU17" i="4"/>
  <c r="DV17" i="4"/>
  <c r="DW17" i="4"/>
  <c r="DX17" i="4"/>
  <c r="DY17" i="4"/>
  <c r="DZ17" i="4"/>
  <c r="EA17" i="4"/>
  <c r="EB17" i="4"/>
  <c r="EC17" i="4"/>
  <c r="ED17" i="4"/>
  <c r="EE17" i="4"/>
  <c r="EF17" i="4"/>
  <c r="EG17" i="4"/>
  <c r="EH17" i="4"/>
  <c r="EI17" i="4"/>
  <c r="EJ17" i="4"/>
  <c r="EK17" i="4"/>
  <c r="EL17" i="4"/>
  <c r="EM17" i="4"/>
  <c r="EN17" i="4"/>
  <c r="EO17" i="4"/>
  <c r="EP17" i="4"/>
  <c r="EQ17" i="4"/>
  <c r="ER17" i="4"/>
  <c r="ES17" i="4"/>
  <c r="ET17" i="4"/>
  <c r="EU17" i="4"/>
  <c r="EV17" i="4"/>
  <c r="EW17" i="4"/>
  <c r="EX17" i="4"/>
  <c r="EY17" i="4"/>
  <c r="EZ17" i="4"/>
  <c r="FA17" i="4"/>
  <c r="FB17" i="4"/>
  <c r="FC17" i="4"/>
  <c r="FD17" i="4"/>
  <c r="FE17" i="4"/>
  <c r="FF17" i="4"/>
  <c r="FG17" i="4"/>
  <c r="FH17" i="4"/>
  <c r="FI17" i="4"/>
  <c r="FJ17" i="4"/>
  <c r="FK17" i="4"/>
  <c r="FL17" i="4"/>
  <c r="FM17" i="4"/>
  <c r="FN17" i="4"/>
  <c r="FO17" i="4"/>
  <c r="FP17" i="4"/>
  <c r="FQ17" i="4"/>
  <c r="FR17" i="4"/>
  <c r="FS17" i="4"/>
  <c r="FT17" i="4"/>
  <c r="FU17" i="4"/>
  <c r="FV17" i="4"/>
  <c r="FW17" i="4"/>
  <c r="FX17" i="4"/>
  <c r="FY17" i="4"/>
  <c r="FZ17" i="4"/>
  <c r="GA17" i="4"/>
  <c r="GB17" i="4"/>
  <c r="GC17" i="4"/>
  <c r="GD17" i="4"/>
  <c r="GE17" i="4"/>
  <c r="GF17" i="4"/>
  <c r="GG17" i="4"/>
  <c r="GH17" i="4"/>
  <c r="GI17" i="4"/>
  <c r="GJ17" i="4"/>
  <c r="GK17" i="4"/>
  <c r="GL17" i="4"/>
  <c r="GM17" i="4"/>
  <c r="GN17" i="4"/>
  <c r="GO17" i="4"/>
  <c r="GP17" i="4"/>
  <c r="GQ17" i="4"/>
  <c r="GR17" i="4"/>
  <c r="GS17" i="4"/>
  <c r="GT17" i="4"/>
  <c r="GU17" i="4"/>
  <c r="GV17" i="4"/>
  <c r="GW17" i="4"/>
  <c r="GX17" i="4"/>
  <c r="GY17" i="4"/>
  <c r="GZ17" i="4"/>
  <c r="HA17" i="4"/>
  <c r="HB17" i="4"/>
  <c r="HC17" i="4"/>
  <c r="HD17" i="4"/>
  <c r="HE17" i="4"/>
  <c r="HF17" i="4"/>
  <c r="HG17" i="4"/>
  <c r="HH17" i="4"/>
  <c r="HI17" i="4"/>
  <c r="HJ17" i="4"/>
  <c r="HK17" i="4"/>
  <c r="HL17" i="4"/>
  <c r="HM17" i="4"/>
  <c r="HN17" i="4"/>
  <c r="HO17" i="4"/>
  <c r="HP17" i="4"/>
  <c r="HQ17" i="4"/>
  <c r="HR17" i="4"/>
  <c r="HS17" i="4"/>
  <c r="HT17" i="4"/>
  <c r="HU17" i="4"/>
  <c r="HV17" i="4"/>
  <c r="HW17" i="4"/>
  <c r="HX17" i="4"/>
  <c r="HY17" i="4"/>
  <c r="HZ17" i="4"/>
  <c r="IA17" i="4"/>
  <c r="IB17" i="4"/>
  <c r="IC17" i="4"/>
  <c r="ID17" i="4"/>
  <c r="IE17" i="4"/>
  <c r="IF17" i="4"/>
  <c r="IG17" i="4"/>
  <c r="IH17" i="4"/>
  <c r="II17" i="4"/>
  <c r="A18" i="4"/>
  <c r="A19" i="4"/>
  <c r="A20" i="4"/>
  <c r="B20" i="4"/>
  <c r="C20" i="4"/>
  <c r="D20" i="4"/>
  <c r="E20" i="4"/>
  <c r="F20" i="4"/>
  <c r="G20" i="4"/>
</calcChain>
</file>

<file path=xl/sharedStrings.xml><?xml version="1.0" encoding="utf-8"?>
<sst xmlns="http://schemas.openxmlformats.org/spreadsheetml/2006/main" count="341" uniqueCount="230">
  <si>
    <t>T</t>
  </si>
  <si>
    <t>U</t>
  </si>
  <si>
    <t>K</t>
  </si>
  <si>
    <t>TOPLAM</t>
  </si>
  <si>
    <t>AAAAAHjff7k=</t>
  </si>
  <si>
    <t>AKTS</t>
  </si>
  <si>
    <t>2</t>
  </si>
  <si>
    <t>3</t>
  </si>
  <si>
    <t>-</t>
  </si>
  <si>
    <t>GSBHSH</t>
  </si>
  <si>
    <t>ORY100</t>
  </si>
  <si>
    <t>ENG143</t>
  </si>
  <si>
    <t>GSF125</t>
  </si>
  <si>
    <t>MİM125</t>
  </si>
  <si>
    <t>MİM131</t>
  </si>
  <si>
    <t>TÜRK101</t>
  </si>
  <si>
    <t>ENG144</t>
  </si>
  <si>
    <t>GSF126</t>
  </si>
  <si>
    <t>MİM130</t>
  </si>
  <si>
    <t>MİM132</t>
  </si>
  <si>
    <t>TÜRK102</t>
  </si>
  <si>
    <t>ATA201</t>
  </si>
  <si>
    <t>FENG243</t>
  </si>
  <si>
    <t>ATA202</t>
  </si>
  <si>
    <t>FENG244</t>
  </si>
  <si>
    <t>1</t>
  </si>
  <si>
    <t>MİM323</t>
  </si>
  <si>
    <t>MİM330</t>
  </si>
  <si>
    <t>MİM331</t>
  </si>
  <si>
    <t>MİM335</t>
  </si>
  <si>
    <t>MİM336</t>
  </si>
  <si>
    <t>MİM337</t>
  </si>
  <si>
    <t>MİM338</t>
  </si>
  <si>
    <t>MİM339</t>
  </si>
  <si>
    <t>MİM340</t>
  </si>
  <si>
    <t>MİM341</t>
  </si>
  <si>
    <t>MİM342</t>
  </si>
  <si>
    <t>MİM343</t>
  </si>
  <si>
    <t>MİM344</t>
  </si>
  <si>
    <t>MİM405</t>
  </si>
  <si>
    <t>MİM410</t>
  </si>
  <si>
    <t>MİM411</t>
  </si>
  <si>
    <t>MİM412</t>
  </si>
  <si>
    <t>MİM414</t>
  </si>
  <si>
    <t>MİM415</t>
  </si>
  <si>
    <t>MİM416</t>
  </si>
  <si>
    <t>MİM417</t>
  </si>
  <si>
    <t>MİM418</t>
  </si>
  <si>
    <t>MİM419</t>
  </si>
  <si>
    <t>MİM420</t>
  </si>
  <si>
    <t>MİM430</t>
  </si>
  <si>
    <t>MİM433</t>
  </si>
  <si>
    <t>MİM434</t>
  </si>
  <si>
    <t>MİM438</t>
  </si>
  <si>
    <t>MİM439</t>
  </si>
  <si>
    <t>MİM442</t>
  </si>
  <si>
    <t>MİM448</t>
  </si>
  <si>
    <t>MİM449</t>
  </si>
  <si>
    <t>MİM451</t>
  </si>
  <si>
    <t>MİM453</t>
  </si>
  <si>
    <t>MİM454</t>
  </si>
  <si>
    <t>MİM455</t>
  </si>
  <si>
    <t>MİM456</t>
  </si>
  <si>
    <t>MİM457</t>
  </si>
  <si>
    <t>MİM459</t>
  </si>
  <si>
    <t>MİM461</t>
  </si>
  <si>
    <t>MİM462</t>
  </si>
  <si>
    <t>MİM472</t>
  </si>
  <si>
    <t>MİM473</t>
  </si>
  <si>
    <t>MİM475</t>
  </si>
  <si>
    <t>MİMXXX</t>
  </si>
  <si>
    <t>MİM141</t>
  </si>
  <si>
    <t>MİM142</t>
  </si>
  <si>
    <t>MİM242</t>
  </si>
  <si>
    <t>MİM399</t>
  </si>
  <si>
    <t>MİM191</t>
  </si>
  <si>
    <t>MİM192</t>
  </si>
  <si>
    <t>MİM291</t>
  </si>
  <si>
    <t>MİM292</t>
  </si>
  <si>
    <t>MİM391</t>
  </si>
  <si>
    <t>MİM392</t>
  </si>
  <si>
    <t>MİM351</t>
  </si>
  <si>
    <t>MİM251</t>
  </si>
  <si>
    <t>MİM252</t>
  </si>
  <si>
    <t>MİM352</t>
  </si>
  <si>
    <t>MİM499</t>
  </si>
  <si>
    <t>MİM491</t>
  </si>
  <si>
    <t>MİM492</t>
  </si>
  <si>
    <t>MİM479</t>
  </si>
  <si>
    <t>0</t>
  </si>
  <si>
    <t>MİM324</t>
  </si>
  <si>
    <t>MİM217</t>
  </si>
  <si>
    <t>MİM218</t>
  </si>
  <si>
    <t>MİM247</t>
  </si>
  <si>
    <t>MİM248</t>
  </si>
  <si>
    <t>MİM231</t>
  </si>
  <si>
    <t>MİM347</t>
  </si>
  <si>
    <t>MİM349</t>
  </si>
  <si>
    <t xml:space="preserve"> </t>
  </si>
  <si>
    <t>MİM481</t>
  </si>
  <si>
    <t>MİM482</t>
  </si>
  <si>
    <t>MİM348</t>
  </si>
  <si>
    <t>COMPUTER LITERACY</t>
  </si>
  <si>
    <t>BTU100</t>
  </si>
  <si>
    <t>FINE ARTS ELECTIVE/FIRST AID</t>
  </si>
  <si>
    <t>INTRODUCTION TO UNIVERSITY LIFE</t>
  </si>
  <si>
    <t>ACADEMIC ENGLISH I</t>
  </si>
  <si>
    <t>ARCHITECTURAL DRAWING</t>
  </si>
  <si>
    <t>ART HISTORY I</t>
  </si>
  <si>
    <t>BASIC DESIGN I</t>
  </si>
  <si>
    <t>INTRODUCTION TO ARCHITECTURE</t>
  </si>
  <si>
    <t>TECHNICAL DRAWING I</t>
  </si>
  <si>
    <t>TURKISH I</t>
  </si>
  <si>
    <t>TOTAL</t>
  </si>
  <si>
    <t>P</t>
  </si>
  <si>
    <t>C</t>
  </si>
  <si>
    <t>ECTS</t>
  </si>
  <si>
    <t>COURSE CODE</t>
  </si>
  <si>
    <t>COURSE NAME</t>
  </si>
  <si>
    <t>University Compulsory Courses</t>
  </si>
  <si>
    <t>7 Courses</t>
  </si>
  <si>
    <t>6 Courses</t>
  </si>
  <si>
    <t>5 Courses</t>
  </si>
  <si>
    <t>ART HISTORY II</t>
  </si>
  <si>
    <t>BUILDING SCIENCE AND ARCHITECTURE</t>
  </si>
  <si>
    <t>ARCHITECTURAL PRESENTATION</t>
  </si>
  <si>
    <t>TURKISH II</t>
  </si>
  <si>
    <t>ATATÜRK'S PRINCIPLES AND THE HIST. OF THE TURKISH REVOLUTION I</t>
  </si>
  <si>
    <t>BUILDING MATERIALS AND STRUCTURAL DESIGN I</t>
  </si>
  <si>
    <t>COMPUTER AIDED DESIGN I</t>
  </si>
  <si>
    <t>ARCHITECTURAL HISTORY I</t>
  </si>
  <si>
    <t>ATATÜRK'S PRINCIPLES AND THE HIST. OF THE TURKISH REVOLUTION II</t>
  </si>
  <si>
    <t>ARCHITECTURAL HISTORY II</t>
  </si>
  <si>
    <t>DIGITAL PRESENTATION TECHNIQUES</t>
  </si>
  <si>
    <t>BASIC CONCEPTS IN ARCHITECTURE</t>
  </si>
  <si>
    <t>ELECTIVE COURSE I</t>
  </si>
  <si>
    <t>SUMMER PRACTICE I</t>
  </si>
  <si>
    <t>CONTEMPORARY ARCHITECTURE I</t>
  </si>
  <si>
    <t>BUILDING SURVEY AND RESTORATION I</t>
  </si>
  <si>
    <t>PHYSICAL ENVIRONMENTAL CONTROL</t>
  </si>
  <si>
    <t>ELECTIVE COURSE II</t>
  </si>
  <si>
    <t>ELECTIVE COURSE III</t>
  </si>
  <si>
    <t>ELECTIVE COURSE IV</t>
  </si>
  <si>
    <t>CONTEMPORARY ARCHITECTURE II</t>
  </si>
  <si>
    <t>ELECTIVE COURSE V</t>
  </si>
  <si>
    <t>SUMMER PRACTICE II</t>
  </si>
  <si>
    <t>ELECTIVE COURSE VI</t>
  </si>
  <si>
    <t>ELECTIVE COURSE VII</t>
  </si>
  <si>
    <t>PROFESSIONAL PRACTICE AND MANAGEMENT</t>
  </si>
  <si>
    <t>ELECTIVE COURSE VIII</t>
  </si>
  <si>
    <t>ELECTIVE COURSE IX</t>
  </si>
  <si>
    <t>ELECTIVE COURSE X</t>
  </si>
  <si>
    <t>PREPERATION FOR PROFESSION</t>
  </si>
  <si>
    <t>TOTAL ECTS: 240+4</t>
  </si>
  <si>
    <t>MULTILAYERED CITIES</t>
  </si>
  <si>
    <t>ARCHITECTURAL MANIFESTOES</t>
  </si>
  <si>
    <t>ARCHITECTURAL REPRESENTATION</t>
  </si>
  <si>
    <t>PHOTOGRAPHY AS A MEDIUM OF ARCHITECTURAL COMMUNICATION</t>
  </si>
  <si>
    <t>LANDSCAPE ARCHITECTURE</t>
  </si>
  <si>
    <t>ARCHITECTURAL ANALYSIS</t>
  </si>
  <si>
    <t>PRIMARY TEXTS IN ARCHITECTURAL HISTORY AND THEORY</t>
  </si>
  <si>
    <t>FLEXIBILITY AND VARIABILITY IN DESIGN PROCES</t>
  </si>
  <si>
    <t>APPROACHES IN GREEK ARCHITECTURE</t>
  </si>
  <si>
    <t>APPROACHES IN ROMAN ARCHITECTURE</t>
  </si>
  <si>
    <t>COMPUTATIONAL DESIGN IN BUILDING INFORMATION MODELING</t>
  </si>
  <si>
    <t>SKETCHING IN ARCHITECTURE</t>
  </si>
  <si>
    <t>ARCHAEOLOGICAL ARCHITECTURE AND MEMORY</t>
  </si>
  <si>
    <t>GENDER, PLACE AND SPACE</t>
  </si>
  <si>
    <t>ARCHITECTURAL ENCOUNTERS AND COMPARISONS IN HISTORY</t>
  </si>
  <si>
    <t>ARCHITECTURAL RESEARCH METHODS</t>
  </si>
  <si>
    <t>ARCHITECTURE AND MUSIC</t>
  </si>
  <si>
    <t>ARCHITECTURE AND CONTEXT</t>
  </si>
  <si>
    <t>ARCHITECTURE AND UTOPIA</t>
  </si>
  <si>
    <t>PARAMETRIC DESING I</t>
  </si>
  <si>
    <t>PERCEPTION OF CITY AND CRITICISM</t>
  </si>
  <si>
    <t>READING ARCHITECTURAL BUILDINGS AND CRITICISM</t>
  </si>
  <si>
    <t>TECTONIC CULTURE IN ARCHITECTURE</t>
  </si>
  <si>
    <t>SPACE PERCEPTION IN ARCHITECTURE</t>
  </si>
  <si>
    <t>TANGIBLE CULTURE</t>
  </si>
  <si>
    <t>CITY IN HISTORY</t>
  </si>
  <si>
    <t>CRITICS ON ARCHITECTURE AND CITY</t>
  </si>
  <si>
    <t>DESIGN FOR DISABLED</t>
  </si>
  <si>
    <t>ARCHITECTURE AND VISUAL ARTS</t>
  </si>
  <si>
    <t>ARCHITECTURE AND LITERATURE</t>
  </si>
  <si>
    <t>ARCHITECTURE, CITY AND CINEMA</t>
  </si>
  <si>
    <t>ANTIQUE ART AND ARCHITECTURE</t>
  </si>
  <si>
    <t>ADVANCED CONSTRUCTION TECHNIQUES AND MATERIALS</t>
  </si>
  <si>
    <t>HISTORY OF ANATOLIAN ARCHITECTURE</t>
  </si>
  <si>
    <t>ARCHITECTURE IN THE REPUBLICAN PERIOD</t>
  </si>
  <si>
    <t>ARCHITECTURE AND AESTHETICS</t>
  </si>
  <si>
    <t>CURRENT DISCUSSIONS ON ARCHITECTURE</t>
  </si>
  <si>
    <t>LEGAL AND ADMINISTRATIVE ISSUES IN ARCHITECTURE</t>
  </si>
  <si>
    <t>CONSERVATION OF HISTORIC SITES</t>
  </si>
  <si>
    <t>URBAN DESIGN AND LANDSCAPE ARCHITECTURE I</t>
  </si>
  <si>
    <t>ACOUSTIC DESIGN OF DIFFERENT BUILDING TYPOLOGIES</t>
  </si>
  <si>
    <t>CONTEMPORARY STRUCTURAL SYSTEMS</t>
  </si>
  <si>
    <t>SUSTAINABLE DESIGN</t>
  </si>
  <si>
    <r>
      <t xml:space="preserve">PARAMETRIC DESIGN II </t>
    </r>
    <r>
      <rPr>
        <b/>
        <sz val="10"/>
        <rFont val="Calibri"/>
        <family val="2"/>
        <scheme val="minor"/>
      </rPr>
      <t>(PRE: MİM417)</t>
    </r>
  </si>
  <si>
    <t>TOTAL CREDITS: 150+4</t>
  </si>
  <si>
    <t>BASKENT UNIVERSITY</t>
  </si>
  <si>
    <t>FACULTY OF FINE ARTS, DESIGN AND ARCHITECTURE</t>
  </si>
  <si>
    <t>FIRST TERM (FALL)</t>
  </si>
  <si>
    <t>THIRD TERM (FALL)</t>
  </si>
  <si>
    <t>FIFTH TERM (FALL)</t>
  </si>
  <si>
    <t>SEVENTH TERM (FALL)</t>
  </si>
  <si>
    <t xml:space="preserve">SECOND TERM (SPRING)    </t>
  </si>
  <si>
    <t xml:space="preserve">FOURTH TERM (SPRING)    </t>
  </si>
  <si>
    <t xml:space="preserve">SIXTH TERM (SPRING)    </t>
  </si>
  <si>
    <t>EIGHTH TERM (SPRING)</t>
  </si>
  <si>
    <t>DEPARTMENT OF ARCHITECTURE % 30 ENGLISH EDUCATION (2019-2020 CATALOGUE)</t>
  </si>
  <si>
    <t>MİM427</t>
  </si>
  <si>
    <t>MİM428</t>
  </si>
  <si>
    <t>ELECTIVE COURSES</t>
  </si>
  <si>
    <r>
      <rPr>
        <sz val="11"/>
        <rFont val="Calibri"/>
        <family val="2"/>
        <scheme val="minor"/>
      </rPr>
      <t>ACADEMIC ENGILISH II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>(PRE: ENG143)</t>
    </r>
  </si>
  <si>
    <r>
      <t xml:space="preserve">TECHNICAL DRAWING II </t>
    </r>
    <r>
      <rPr>
        <b/>
        <sz val="11"/>
        <rFont val="Calibri"/>
        <family val="2"/>
      </rPr>
      <t>(PRE: MİM131)</t>
    </r>
  </si>
  <si>
    <r>
      <rPr>
        <sz val="11"/>
        <rFont val="Calibri"/>
        <family val="2"/>
      </rPr>
      <t xml:space="preserve">ENGLISH FOR SPECIFIC AND ACADEMIC PURPOSES </t>
    </r>
    <r>
      <rPr>
        <b/>
        <sz val="11"/>
        <rFont val="Calibri"/>
        <family val="2"/>
      </rPr>
      <t xml:space="preserve"> (PRE: ENG144) </t>
    </r>
  </si>
  <si>
    <r>
      <rPr>
        <sz val="11"/>
        <rFont val="Calibri"/>
        <family val="2"/>
      </rPr>
      <t xml:space="preserve">ENGLISH FOR SPECIFIC AND ACADEMIC PURPOSES II </t>
    </r>
    <r>
      <rPr>
        <b/>
        <sz val="11"/>
        <rFont val="Calibri"/>
        <family val="2"/>
      </rPr>
      <t>(PRE:FENG243)</t>
    </r>
  </si>
  <si>
    <r>
      <t xml:space="preserve">BASIC DESIGN II </t>
    </r>
    <r>
      <rPr>
        <b/>
        <sz val="11"/>
        <rFont val="Calibri"/>
        <family val="2"/>
      </rPr>
      <t>(PRE: MİM191)</t>
    </r>
  </si>
  <si>
    <r>
      <rPr>
        <sz val="11"/>
        <rFont val="Calibri"/>
        <family val="2"/>
        <scheme val="minor"/>
      </rPr>
      <t xml:space="preserve">COMPUTER AIDED DESIGN II </t>
    </r>
    <r>
      <rPr>
        <b/>
        <sz val="11"/>
        <rFont val="Calibri"/>
        <family val="2"/>
      </rPr>
      <t>(PRE: MİM217)</t>
    </r>
  </si>
  <si>
    <r>
      <t xml:space="preserve">BUILDING MATERIALS AND STRUCTURAL DESIGN II </t>
    </r>
    <r>
      <rPr>
        <b/>
        <sz val="11"/>
        <rFont val="Calibri"/>
        <family val="2"/>
        <scheme val="minor"/>
      </rPr>
      <t>(PRE: MİM251)</t>
    </r>
  </si>
  <si>
    <r>
      <t xml:space="preserve">DESIGN STUDIO I </t>
    </r>
    <r>
      <rPr>
        <b/>
        <sz val="11"/>
        <rFont val="Calibri"/>
        <family val="2"/>
      </rPr>
      <t>(PRE: MİM192)</t>
    </r>
  </si>
  <si>
    <r>
      <t xml:space="preserve">DESIGN STUDIO II </t>
    </r>
    <r>
      <rPr>
        <b/>
        <sz val="11"/>
        <rFont val="Calibri"/>
        <family val="2"/>
      </rPr>
      <t>(PRE: MİM291)</t>
    </r>
  </si>
  <si>
    <r>
      <t xml:space="preserve">BUILDING TECHNOLOGIES I </t>
    </r>
    <r>
      <rPr>
        <b/>
        <sz val="11"/>
        <rFont val="Calibri"/>
        <family val="2"/>
      </rPr>
      <t>(PRE: MİM252)</t>
    </r>
  </si>
  <si>
    <r>
      <t>BUILDING TECHNOLOGIES II</t>
    </r>
    <r>
      <rPr>
        <b/>
        <sz val="11"/>
        <rFont val="Calibri"/>
        <family val="2"/>
      </rPr>
      <t xml:space="preserve"> (PRE: MİM351)</t>
    </r>
  </si>
  <si>
    <r>
      <t>DESIGN STUDIO III</t>
    </r>
    <r>
      <rPr>
        <b/>
        <sz val="11"/>
        <rFont val="Calibri"/>
        <family val="2"/>
      </rPr>
      <t xml:space="preserve"> (PRE: MİM292)</t>
    </r>
  </si>
  <si>
    <r>
      <t>DESIGN STUDIO IV</t>
    </r>
    <r>
      <rPr>
        <b/>
        <sz val="11"/>
        <rFont val="Calibri"/>
        <family val="2"/>
      </rPr>
      <t xml:space="preserve"> (PRE: MİM391)</t>
    </r>
  </si>
  <si>
    <r>
      <t xml:space="preserve">DESIGN STUDIO V </t>
    </r>
    <r>
      <rPr>
        <b/>
        <sz val="11"/>
        <rFont val="Calibri"/>
        <family val="2"/>
      </rPr>
      <t>(PRE: MİM392)</t>
    </r>
  </si>
  <si>
    <r>
      <t>DESIGN STUDIO VI</t>
    </r>
    <r>
      <rPr>
        <b/>
        <sz val="11"/>
        <rFont val="Calibri"/>
        <family val="2"/>
      </rPr>
      <t xml:space="preserve"> (PRE: MİM491)</t>
    </r>
  </si>
  <si>
    <r>
      <t xml:space="preserve">BUILDING SURVEY AND RESTORATION II </t>
    </r>
    <r>
      <rPr>
        <b/>
        <sz val="10"/>
        <rFont val="Calibri"/>
        <family val="2"/>
        <scheme val="minor"/>
      </rPr>
      <t>(PRE: MİM347)</t>
    </r>
  </si>
  <si>
    <r>
      <t xml:space="preserve">URBAN DESIGN AND LANDSCAPE ARCHITECTURE II </t>
    </r>
    <r>
      <rPr>
        <b/>
        <sz val="10"/>
        <rFont val="Calibri"/>
        <family val="2"/>
        <scheme val="minor"/>
      </rPr>
      <t>(PRE: MİM481)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</si>
</sst>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2"/>
      <color theme="1"/>
      <name val="Calibri"/>
      <family val="2"/>
      <scheme val="minor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applyFont="1" applyFill="1"/>
    <xf numFmtId="0" fontId="4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4" fillId="0" borderId="0" xfId="0" applyFont="1" applyFill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0" xfId="0" applyNumberFormat="1" applyFont="1" applyFill="1"/>
    <xf numFmtId="0" fontId="3" fillId="0" borderId="0" xfId="0" applyFont="1" applyFill="1" applyAlignment="1">
      <alignment horizontal="left"/>
    </xf>
    <xf numFmtId="0" fontId="3" fillId="0" borderId="1" xfId="0" applyFont="1" applyFill="1" applyBorder="1"/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1" xfId="0" applyFont="1" applyFill="1" applyBorder="1"/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/>
    <xf numFmtId="0" fontId="5" fillId="0" borderId="0" xfId="0" applyFont="1" applyFill="1" applyAlignment="1"/>
    <xf numFmtId="0" fontId="5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2" fillId="0" borderId="1" xfId="0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5" fillId="0" borderId="0" xfId="0" applyNumberFormat="1" applyFont="1" applyFill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A1:IV20"/>
  <sheetViews>
    <sheetView workbookViewId="0"/>
  </sheetViews>
  <sheetFormatPr defaultRowHeight="15.75" x14ac:dyDescent="0.25"/>
  <sheetData>
    <row r="1" spans="1:256" x14ac:dyDescent="0.25">
      <c r="A1">
        <f>IF(ZORUNLU!2:2,"AAAAAF7ftQA=",0)</f>
        <v>0</v>
      </c>
      <c r="B1" t="e">
        <f>AND(ZORUNLU!B2,"AAAAAF7ftQE=")</f>
        <v>#VALUE!</v>
      </c>
      <c r="C1" t="e">
        <f>AND(ZORUNLU!C2,"AAAAAF7ftQI=")</f>
        <v>#VALUE!</v>
      </c>
      <c r="D1" t="e">
        <f>AND(ZORUNLU!D2,"AAAAAF7ftQM=")</f>
        <v>#VALUE!</v>
      </c>
      <c r="E1" t="e">
        <f>AND(ZORUNLU!E2,"AAAAAF7ftQQ=")</f>
        <v>#VALUE!</v>
      </c>
      <c r="F1" t="e">
        <f>AND(ZORUNLU!F2,"AAAAAF7ftQU=")</f>
        <v>#VALUE!</v>
      </c>
      <c r="G1" t="e">
        <f>AND(ZORUNLU!G2,"AAAAAF7ftQY=")</f>
        <v>#VALUE!</v>
      </c>
      <c r="H1" t="e">
        <f>AND(ZORUNLU!H2,"AAAAAF7ftQc=")</f>
        <v>#VALUE!</v>
      </c>
      <c r="I1" t="e">
        <f>AND(ZORUNLU!I2,"AAAAAF7ftQg=")</f>
        <v>#VALUE!</v>
      </c>
      <c r="J1" t="e">
        <f>AND(ZORUNLU!J2,"AAAAAF7ftQk=")</f>
        <v>#VALUE!</v>
      </c>
      <c r="K1" t="e">
        <f>AND(ZORUNLU!K2,"AAAAAF7ftQo=")</f>
        <v>#VALUE!</v>
      </c>
      <c r="L1" t="e">
        <f>AND(ZORUNLU!L2,"AAAAAF7ftQs=")</f>
        <v>#VALUE!</v>
      </c>
      <c r="M1" t="e">
        <f>AND(ZORUNLU!M2,"AAAAAF7ftQw=")</f>
        <v>#VALUE!</v>
      </c>
      <c r="N1" t="e">
        <f>AND(ZORUNLU!N2,"AAAAAF7ftQ0=")</f>
        <v>#VALUE!</v>
      </c>
      <c r="O1" t="e">
        <f>AND(ZORUNLU!O2,"AAAAAF7ftQ4=")</f>
        <v>#VALUE!</v>
      </c>
      <c r="P1" t="e">
        <f>AND(ZORUNLU!P2,"AAAAAF7ftQ8=")</f>
        <v>#VALUE!</v>
      </c>
      <c r="Q1" t="e">
        <f>AND(ZORUNLU!#REF!,"AAAAAF7ftRA=")</f>
        <v>#REF!</v>
      </c>
      <c r="R1" t="e">
        <f>AND(ZORUNLU!#REF!,"AAAAAF7ftRE=")</f>
        <v>#REF!</v>
      </c>
      <c r="S1" t="e">
        <f>AND(ZORUNLU!#REF!,"AAAAAF7ftRI=")</f>
        <v>#REF!</v>
      </c>
      <c r="T1" t="e">
        <f>AND(ZORUNLU!#REF!,"AAAAAF7ftRM=")</f>
        <v>#REF!</v>
      </c>
      <c r="U1" t="e">
        <f>AND(ZORUNLU!#REF!,"AAAAAF7ftRQ=")</f>
        <v>#REF!</v>
      </c>
      <c r="V1" t="e">
        <f>AND(ZORUNLU!#REF!,"AAAAAF7ftRU=")</f>
        <v>#REF!</v>
      </c>
      <c r="W1">
        <f>IF(ZORUNLU!3:3,"AAAAAF7ftRY=",0)</f>
        <v>0</v>
      </c>
      <c r="X1" t="e">
        <f>AND(ZORUNLU!B3,"AAAAAF7ftRc=")</f>
        <v>#VALUE!</v>
      </c>
      <c r="Y1" t="e">
        <f>AND(ZORUNLU!C3,"AAAAAF7ftRg=")</f>
        <v>#VALUE!</v>
      </c>
      <c r="Z1" t="e">
        <f>AND(ZORUNLU!D3,"AAAAAF7ftRk=")</f>
        <v>#VALUE!</v>
      </c>
      <c r="AA1" t="e">
        <f>AND(ZORUNLU!E3,"AAAAAF7ftRo=")</f>
        <v>#VALUE!</v>
      </c>
      <c r="AB1" t="e">
        <f>AND(ZORUNLU!F3,"AAAAAF7ftRs=")</f>
        <v>#VALUE!</v>
      </c>
      <c r="AC1" t="e">
        <f>AND(ZORUNLU!G3,"AAAAAF7ftRw=")</f>
        <v>#VALUE!</v>
      </c>
      <c r="AD1" t="e">
        <f>AND(ZORUNLU!H3,"AAAAAF7ftR0=")</f>
        <v>#VALUE!</v>
      </c>
      <c r="AE1" t="e">
        <f>AND(ZORUNLU!I3,"AAAAAF7ftR4=")</f>
        <v>#VALUE!</v>
      </c>
      <c r="AF1" t="e">
        <f>AND(ZORUNLU!J3,"AAAAAF7ftR8=")</f>
        <v>#VALUE!</v>
      </c>
      <c r="AG1" t="e">
        <f>AND(ZORUNLU!K3,"AAAAAF7ftSA=")</f>
        <v>#VALUE!</v>
      </c>
      <c r="AH1" t="e">
        <f>AND(ZORUNLU!L3,"AAAAAF7ftSE=")</f>
        <v>#VALUE!</v>
      </c>
      <c r="AI1" t="e">
        <f>AND(ZORUNLU!M3,"AAAAAF7ftSI=")</f>
        <v>#VALUE!</v>
      </c>
      <c r="AJ1" t="e">
        <f>AND(ZORUNLU!N3,"AAAAAF7ftSM=")</f>
        <v>#VALUE!</v>
      </c>
      <c r="AK1" t="e">
        <f>AND(ZORUNLU!O3,"AAAAAF7ftSQ=")</f>
        <v>#VALUE!</v>
      </c>
      <c r="AL1" t="e">
        <f>AND(ZORUNLU!P3,"AAAAAF7ftSU=")</f>
        <v>#VALUE!</v>
      </c>
      <c r="AM1" t="e">
        <f>AND(ZORUNLU!#REF!,"AAAAAF7ftSY=")</f>
        <v>#REF!</v>
      </c>
      <c r="AN1" t="e">
        <f>AND(ZORUNLU!#REF!,"AAAAAF7ftSc=")</f>
        <v>#REF!</v>
      </c>
      <c r="AO1" t="e">
        <f>AND(ZORUNLU!#REF!,"AAAAAF7ftSg=")</f>
        <v>#REF!</v>
      </c>
      <c r="AP1" t="e">
        <f>AND(ZORUNLU!#REF!,"AAAAAF7ftSk=")</f>
        <v>#REF!</v>
      </c>
      <c r="AQ1" t="e">
        <f>AND(ZORUNLU!#REF!,"AAAAAF7ftSo=")</f>
        <v>#REF!</v>
      </c>
      <c r="AR1" t="e">
        <f>AND(ZORUNLU!#REF!,"AAAAAF7ftSs=")</f>
        <v>#REF!</v>
      </c>
      <c r="AS1">
        <f>IF(ZORUNLU!4:4,"AAAAAF7ftSw=",0)</f>
        <v>0</v>
      </c>
      <c r="AT1" t="e">
        <f>AND(ZORUNLU!B4,"AAAAAF7ftS0=")</f>
        <v>#VALUE!</v>
      </c>
      <c r="AU1" t="e">
        <f>AND(ZORUNLU!C4,"AAAAAF7ftS4=")</f>
        <v>#VALUE!</v>
      </c>
      <c r="AV1" t="e">
        <f>AND(ZORUNLU!D4,"AAAAAF7ftS8=")</f>
        <v>#VALUE!</v>
      </c>
      <c r="AW1" t="e">
        <f>AND(ZORUNLU!E4,"AAAAAF7ftTA=")</f>
        <v>#VALUE!</v>
      </c>
      <c r="AX1" t="e">
        <f>AND(ZORUNLU!F4,"AAAAAF7ftTE=")</f>
        <v>#VALUE!</v>
      </c>
      <c r="AY1" t="e">
        <f>AND(ZORUNLU!G4,"AAAAAF7ftTI=")</f>
        <v>#VALUE!</v>
      </c>
      <c r="AZ1" t="e">
        <f>AND(ZORUNLU!H4,"AAAAAF7ftTM=")</f>
        <v>#VALUE!</v>
      </c>
      <c r="BA1" t="e">
        <f>AND(ZORUNLU!I4,"AAAAAF7ftTQ=")</f>
        <v>#VALUE!</v>
      </c>
      <c r="BB1" t="e">
        <f>AND(ZORUNLU!J4,"AAAAAF7ftTU=")</f>
        <v>#VALUE!</v>
      </c>
      <c r="BC1" t="e">
        <f>AND(ZORUNLU!K4,"AAAAAF7ftTY=")</f>
        <v>#VALUE!</v>
      </c>
      <c r="BD1" t="e">
        <f>AND(ZORUNLU!L4,"AAAAAF7ftTc=")</f>
        <v>#VALUE!</v>
      </c>
      <c r="BE1" t="e">
        <f>AND(ZORUNLU!M4,"AAAAAF7ftTg=")</f>
        <v>#VALUE!</v>
      </c>
      <c r="BF1" t="e">
        <f>AND(ZORUNLU!N4,"AAAAAF7ftTk=")</f>
        <v>#VALUE!</v>
      </c>
      <c r="BG1" t="e">
        <f>AND(ZORUNLU!O4,"AAAAAF7ftTo=")</f>
        <v>#VALUE!</v>
      </c>
      <c r="BH1" t="e">
        <f>AND(ZORUNLU!P4,"AAAAAF7ftTs=")</f>
        <v>#VALUE!</v>
      </c>
      <c r="BI1" t="e">
        <f>AND(ZORUNLU!#REF!,"AAAAAF7ftTw=")</f>
        <v>#REF!</v>
      </c>
      <c r="BJ1" t="e">
        <f>AND(ZORUNLU!#REF!,"AAAAAF7ftT0=")</f>
        <v>#REF!</v>
      </c>
      <c r="BK1" t="e">
        <f>AND(ZORUNLU!#REF!,"AAAAAF7ftT4=")</f>
        <v>#REF!</v>
      </c>
      <c r="BL1" t="e">
        <f>AND(ZORUNLU!#REF!,"AAAAAF7ftT8=")</f>
        <v>#REF!</v>
      </c>
      <c r="BM1" t="e">
        <f>AND(ZORUNLU!#REF!,"AAAAAF7ftUA=")</f>
        <v>#REF!</v>
      </c>
      <c r="BN1" t="e">
        <f>AND(ZORUNLU!#REF!,"AAAAAF7ftUE=")</f>
        <v>#REF!</v>
      </c>
      <c r="BO1">
        <f>IF(ZORUNLU!5:5,"AAAAAF7ftUI=",0)</f>
        <v>0</v>
      </c>
      <c r="BP1" t="e">
        <f>AND(ZORUNLU!B5,"AAAAAF7ftUM=")</f>
        <v>#VALUE!</v>
      </c>
      <c r="BQ1" t="e">
        <f>AND(ZORUNLU!C5,"AAAAAF7ftUQ=")</f>
        <v>#VALUE!</v>
      </c>
      <c r="BR1" t="e">
        <f>AND(ZORUNLU!D5,"AAAAAF7ftUU=")</f>
        <v>#VALUE!</v>
      </c>
      <c r="BS1" t="e">
        <f>AND(ZORUNLU!E5,"AAAAAF7ftUY=")</f>
        <v>#VALUE!</v>
      </c>
      <c r="BT1" t="e">
        <f>AND(ZORUNLU!F5,"AAAAAF7ftUc=")</f>
        <v>#VALUE!</v>
      </c>
      <c r="BU1" t="e">
        <f>AND(ZORUNLU!G5,"AAAAAF7ftUg=")</f>
        <v>#VALUE!</v>
      </c>
      <c r="BV1" t="e">
        <f>AND(ZORUNLU!H5,"AAAAAF7ftUk=")</f>
        <v>#VALUE!</v>
      </c>
      <c r="BW1" t="e">
        <f>AND(ZORUNLU!I5,"AAAAAF7ftUo=")</f>
        <v>#VALUE!</v>
      </c>
      <c r="BX1" t="e">
        <f>AND(ZORUNLU!J5,"AAAAAF7ftUs=")</f>
        <v>#VALUE!</v>
      </c>
      <c r="BY1" t="e">
        <f>AND(ZORUNLU!K5,"AAAAAF7ftUw=")</f>
        <v>#VALUE!</v>
      </c>
      <c r="BZ1" t="e">
        <f>AND(ZORUNLU!L5,"AAAAAF7ftU0=")</f>
        <v>#VALUE!</v>
      </c>
      <c r="CA1" t="e">
        <f>AND(ZORUNLU!M5,"AAAAAF7ftU4=")</f>
        <v>#VALUE!</v>
      </c>
      <c r="CB1" t="e">
        <f>AND(ZORUNLU!N5,"AAAAAF7ftU8=")</f>
        <v>#VALUE!</v>
      </c>
      <c r="CC1" t="e">
        <f>AND(ZORUNLU!O5,"AAAAAF7ftVA=")</f>
        <v>#VALUE!</v>
      </c>
      <c r="CD1" t="e">
        <f>AND(ZORUNLU!P5,"AAAAAF7ftVE=")</f>
        <v>#VALUE!</v>
      </c>
      <c r="CE1" t="e">
        <f>AND(ZORUNLU!#REF!,"AAAAAF7ftVI=")</f>
        <v>#REF!</v>
      </c>
      <c r="CF1" t="e">
        <f>AND(ZORUNLU!#REF!,"AAAAAF7ftVM=")</f>
        <v>#REF!</v>
      </c>
      <c r="CG1" t="e">
        <f>AND(ZORUNLU!#REF!,"AAAAAF7ftVQ=")</f>
        <v>#REF!</v>
      </c>
      <c r="CH1" t="e">
        <f>AND(ZORUNLU!#REF!,"AAAAAF7ftVU=")</f>
        <v>#REF!</v>
      </c>
      <c r="CI1" t="e">
        <f>AND(ZORUNLU!#REF!,"AAAAAF7ftVY=")</f>
        <v>#REF!</v>
      </c>
      <c r="CJ1" t="e">
        <f>AND(ZORUNLU!#REF!,"AAAAAF7ftVc=")</f>
        <v>#REF!</v>
      </c>
      <c r="CK1">
        <f>IF(ZORUNLU!10:10,"AAAAAF7ftVg=",0)</f>
        <v>0</v>
      </c>
      <c r="CL1" t="e">
        <f>AND(ZORUNLU!B10,"AAAAAF7ftVk=")</f>
        <v>#VALUE!</v>
      </c>
      <c r="CM1" t="e">
        <f>AND(ZORUNLU!C10,"AAAAAF7ftVo=")</f>
        <v>#VALUE!</v>
      </c>
      <c r="CN1" t="e">
        <f>AND(ZORUNLU!D10,"AAAAAF7ftVs=")</f>
        <v>#VALUE!</v>
      </c>
      <c r="CO1" t="e">
        <f>AND(ZORUNLU!E10,"AAAAAF7ftVw=")</f>
        <v>#VALUE!</v>
      </c>
      <c r="CP1" t="e">
        <f>AND(ZORUNLU!F10,"AAAAAF7ftV0=")</f>
        <v>#VALUE!</v>
      </c>
      <c r="CQ1" t="e">
        <f>AND(ZORUNLU!G10,"AAAAAF7ftV4=")</f>
        <v>#VALUE!</v>
      </c>
      <c r="CR1" t="e">
        <f>AND(ZORUNLU!H10,"AAAAAF7ftV8=")</f>
        <v>#VALUE!</v>
      </c>
      <c r="CS1" t="e">
        <f>AND(ZORUNLU!I10,"AAAAAF7ftWA=")</f>
        <v>#VALUE!</v>
      </c>
      <c r="CT1" t="e">
        <f>AND(ZORUNLU!J10,"AAAAAF7ftWE=")</f>
        <v>#VALUE!</v>
      </c>
      <c r="CU1" t="e">
        <f>AND(ZORUNLU!K10,"AAAAAF7ftWI=")</f>
        <v>#VALUE!</v>
      </c>
      <c r="CV1" t="e">
        <f>AND(ZORUNLU!L10,"AAAAAF7ftWM=")</f>
        <v>#VALUE!</v>
      </c>
      <c r="CW1" t="e">
        <f>AND(ZORUNLU!M10,"AAAAAF7ftWQ=")</f>
        <v>#VALUE!</v>
      </c>
      <c r="CX1" t="e">
        <f>AND(ZORUNLU!N10,"AAAAAF7ftWU=")</f>
        <v>#VALUE!</v>
      </c>
      <c r="CY1" t="e">
        <f>AND(ZORUNLU!O10,"AAAAAF7ftWY=")</f>
        <v>#VALUE!</v>
      </c>
      <c r="CZ1" t="e">
        <f>AND(ZORUNLU!P10,"AAAAAF7ftWc=")</f>
        <v>#VALUE!</v>
      </c>
      <c r="DA1" t="e">
        <f>AND(ZORUNLU!#REF!,"AAAAAF7ftWg=")</f>
        <v>#REF!</v>
      </c>
      <c r="DB1" t="e">
        <f>AND(ZORUNLU!#REF!,"AAAAAF7ftWk=")</f>
        <v>#REF!</v>
      </c>
      <c r="DC1" t="e">
        <f>AND(ZORUNLU!#REF!,"AAAAAF7ftWo=")</f>
        <v>#REF!</v>
      </c>
      <c r="DD1" t="e">
        <f>AND(ZORUNLU!#REF!,"AAAAAF7ftWs=")</f>
        <v>#REF!</v>
      </c>
      <c r="DE1" t="e">
        <f>AND(ZORUNLU!#REF!,"AAAAAF7ftWw=")</f>
        <v>#REF!</v>
      </c>
      <c r="DF1" t="e">
        <f>AND(ZORUNLU!#REF!,"AAAAAF7ftW0=")</f>
        <v>#REF!</v>
      </c>
      <c r="DG1">
        <f>IF(ZORUNLU!12:12,"AAAAAF7ftW4=",0)</f>
        <v>0</v>
      </c>
      <c r="DH1" t="e">
        <f>AND(ZORUNLU!B12,"AAAAAF7ftW8=")</f>
        <v>#VALUE!</v>
      </c>
      <c r="DI1" t="e">
        <f>AND(ZORUNLU!C12,"AAAAAF7ftXA=")</f>
        <v>#VALUE!</v>
      </c>
      <c r="DJ1" t="e">
        <f>AND(ZORUNLU!D12,"AAAAAF7ftXE=")</f>
        <v>#VALUE!</v>
      </c>
      <c r="DK1" t="e">
        <f>AND(ZORUNLU!E12,"AAAAAF7ftXI=")</f>
        <v>#VALUE!</v>
      </c>
      <c r="DL1" t="e">
        <f>AND(ZORUNLU!F12,"AAAAAF7ftXM=")</f>
        <v>#VALUE!</v>
      </c>
      <c r="DM1" t="e">
        <f>AND(ZORUNLU!G12,"AAAAAF7ftXQ=")</f>
        <v>#VALUE!</v>
      </c>
      <c r="DN1" t="e">
        <f>AND(ZORUNLU!H12,"AAAAAF7ftXU=")</f>
        <v>#VALUE!</v>
      </c>
      <c r="DO1" t="e">
        <f>AND(ZORUNLU!I12,"AAAAAF7ftXY=")</f>
        <v>#VALUE!</v>
      </c>
      <c r="DP1" t="e">
        <f>AND(ZORUNLU!J12,"AAAAAF7ftXc=")</f>
        <v>#VALUE!</v>
      </c>
      <c r="DQ1" t="e">
        <f>AND(ZORUNLU!K12,"AAAAAF7ftXg=")</f>
        <v>#VALUE!</v>
      </c>
      <c r="DR1" t="e">
        <f>AND(ZORUNLU!L12,"AAAAAF7ftXk=")</f>
        <v>#VALUE!</v>
      </c>
      <c r="DS1" t="e">
        <f>AND(ZORUNLU!M12,"AAAAAF7ftXo=")</f>
        <v>#VALUE!</v>
      </c>
      <c r="DT1" t="e">
        <f>AND(ZORUNLU!N12,"AAAAAF7ftXs=")</f>
        <v>#VALUE!</v>
      </c>
      <c r="DU1" t="e">
        <f>AND(ZORUNLU!O12,"AAAAAF7ftXw=")</f>
        <v>#VALUE!</v>
      </c>
      <c r="DV1" t="e">
        <f>AND(ZORUNLU!P12,"AAAAAF7ftX0=")</f>
        <v>#VALUE!</v>
      </c>
      <c r="DW1" t="e">
        <f>AND(ZORUNLU!#REF!,"AAAAAF7ftX4=")</f>
        <v>#REF!</v>
      </c>
      <c r="DX1" t="e">
        <f>AND(ZORUNLU!#REF!,"AAAAAF7ftX8=")</f>
        <v>#REF!</v>
      </c>
      <c r="DY1" t="e">
        <f>AND(ZORUNLU!#REF!,"AAAAAF7ftYA=")</f>
        <v>#REF!</v>
      </c>
      <c r="DZ1" t="e">
        <f>AND(ZORUNLU!#REF!,"AAAAAF7ftYE=")</f>
        <v>#REF!</v>
      </c>
      <c r="EA1" t="e">
        <f>AND(ZORUNLU!#REF!,"AAAAAF7ftYI=")</f>
        <v>#REF!</v>
      </c>
      <c r="EB1" t="e">
        <f>AND(ZORUNLU!#REF!,"AAAAAF7ftYM=")</f>
        <v>#REF!</v>
      </c>
      <c r="EC1">
        <f>IF(ZORUNLU!13:13,"AAAAAF7ftYQ=",0)</f>
        <v>0</v>
      </c>
      <c r="ED1" t="e">
        <f>AND(ZORUNLU!B13,"AAAAAF7ftYU=")</f>
        <v>#VALUE!</v>
      </c>
      <c r="EE1" t="e">
        <f>AND(ZORUNLU!C13,"AAAAAF7ftYY=")</f>
        <v>#VALUE!</v>
      </c>
      <c r="EF1" t="e">
        <f>AND(ZORUNLU!D13,"AAAAAF7ftYc=")</f>
        <v>#VALUE!</v>
      </c>
      <c r="EG1" t="e">
        <f>AND(ZORUNLU!E13,"AAAAAF7ftYg=")</f>
        <v>#VALUE!</v>
      </c>
      <c r="EH1" t="e">
        <f>AND(ZORUNLU!F13,"AAAAAF7ftYk=")</f>
        <v>#VALUE!</v>
      </c>
      <c r="EI1" t="e">
        <f>AND(ZORUNLU!G13,"AAAAAF7ftYo=")</f>
        <v>#VALUE!</v>
      </c>
      <c r="EJ1" t="e">
        <f>AND(ZORUNLU!H13,"AAAAAF7ftYs=")</f>
        <v>#VALUE!</v>
      </c>
      <c r="EK1" t="e">
        <f>AND(ZORUNLU!I13,"AAAAAF7ftYw=")</f>
        <v>#VALUE!</v>
      </c>
      <c r="EL1" t="e">
        <f>AND(ZORUNLU!J13,"AAAAAF7ftY0=")</f>
        <v>#VALUE!</v>
      </c>
      <c r="EM1" t="e">
        <f>AND(ZORUNLU!K13,"AAAAAF7ftY4=")</f>
        <v>#VALUE!</v>
      </c>
      <c r="EN1" t="e">
        <f>AND(ZORUNLU!L13,"AAAAAF7ftY8=")</f>
        <v>#VALUE!</v>
      </c>
      <c r="EO1" t="e">
        <f>AND(ZORUNLU!M13,"AAAAAF7ftZA=")</f>
        <v>#VALUE!</v>
      </c>
      <c r="EP1" t="e">
        <f>AND(ZORUNLU!N13,"AAAAAF7ftZE=")</f>
        <v>#VALUE!</v>
      </c>
      <c r="EQ1" t="e">
        <f>AND(ZORUNLU!O13,"AAAAAF7ftZI=")</f>
        <v>#VALUE!</v>
      </c>
      <c r="ER1" t="e">
        <f>AND(ZORUNLU!P13,"AAAAAF7ftZM=")</f>
        <v>#VALUE!</v>
      </c>
      <c r="ES1" t="e">
        <f>AND(ZORUNLU!#REF!,"AAAAAF7ftZQ=")</f>
        <v>#REF!</v>
      </c>
      <c r="ET1" t="e">
        <f>AND(ZORUNLU!#REF!,"AAAAAF7ftZU=")</f>
        <v>#REF!</v>
      </c>
      <c r="EU1" t="e">
        <f>AND(ZORUNLU!#REF!,"AAAAAF7ftZY=")</f>
        <v>#REF!</v>
      </c>
      <c r="EV1" t="e">
        <f>AND(ZORUNLU!#REF!,"AAAAAF7ftZc=")</f>
        <v>#REF!</v>
      </c>
      <c r="EW1" t="e">
        <f>AND(ZORUNLU!#REF!,"AAAAAF7ftZg=")</f>
        <v>#REF!</v>
      </c>
      <c r="EX1" t="e">
        <f>AND(ZORUNLU!#REF!,"AAAAAF7ftZk=")</f>
        <v>#REF!</v>
      </c>
      <c r="EY1">
        <f>IF(ZORUNLU!14:14,"AAAAAF7ftZo=",0)</f>
        <v>0</v>
      </c>
      <c r="EZ1" t="e">
        <f>AND(ZORUNLU!B20,"AAAAAF7ftZs=")</f>
        <v>#VALUE!</v>
      </c>
      <c r="FA1" t="e">
        <f>AND(ZORUNLU!C20,"AAAAAF7ftZw=")</f>
        <v>#VALUE!</v>
      </c>
      <c r="FB1" t="e">
        <f>AND(ZORUNLU!D20,"AAAAAF7ftZ0=")</f>
        <v>#VALUE!</v>
      </c>
      <c r="FC1" t="e">
        <f>AND(ZORUNLU!E20,"AAAAAF7ftZ4=")</f>
        <v>#VALUE!</v>
      </c>
      <c r="FD1" t="e">
        <f>AND(ZORUNLU!F20,"AAAAAF7ftZ8=")</f>
        <v>#VALUE!</v>
      </c>
      <c r="FE1" t="e">
        <f>AND(ZORUNLU!G20,"AAAAAF7ftaA=")</f>
        <v>#VALUE!</v>
      </c>
      <c r="FF1" t="e">
        <f>AND(ZORUNLU!H14,"AAAAAF7ftaE=")</f>
        <v>#VALUE!</v>
      </c>
      <c r="FG1" t="e">
        <f>AND(ZORUNLU!I20,"AAAAAF7ftaI=")</f>
        <v>#VALUE!</v>
      </c>
      <c r="FH1" t="e">
        <f>AND(ZORUNLU!J20,"AAAAAF7ftaM=")</f>
        <v>#VALUE!</v>
      </c>
      <c r="FI1" t="e">
        <f>AND(ZORUNLU!K20,"AAAAAF7ftaQ=")</f>
        <v>#VALUE!</v>
      </c>
      <c r="FJ1" t="e">
        <f>AND(ZORUNLU!L20,"AAAAAF7ftaU=")</f>
        <v>#VALUE!</v>
      </c>
      <c r="FK1" t="e">
        <f>AND(ZORUNLU!M20,"AAAAAF7ftaY=")</f>
        <v>#VALUE!</v>
      </c>
      <c r="FL1" t="e">
        <f>AND(ZORUNLU!N20,"AAAAAF7ftac=")</f>
        <v>#VALUE!</v>
      </c>
      <c r="FM1" t="e">
        <f>AND(ZORUNLU!O14,"AAAAAF7ftag=")</f>
        <v>#VALUE!</v>
      </c>
      <c r="FN1" t="e">
        <f>AND(ZORUNLU!P14,"AAAAAF7ftak=")</f>
        <v>#VALUE!</v>
      </c>
      <c r="FO1" t="e">
        <f>AND(ZORUNLU!#REF!,"AAAAAF7ftao=")</f>
        <v>#REF!</v>
      </c>
      <c r="FP1" t="e">
        <f>AND(ZORUNLU!#REF!,"AAAAAF7ftas=")</f>
        <v>#REF!</v>
      </c>
      <c r="FQ1" t="e">
        <f>AND(ZORUNLU!#REF!,"AAAAAF7ftaw=")</f>
        <v>#REF!</v>
      </c>
      <c r="FR1" t="e">
        <f>AND(ZORUNLU!#REF!,"AAAAAF7fta0=")</f>
        <v>#REF!</v>
      </c>
      <c r="FS1" t="e">
        <f>AND(ZORUNLU!#REF!,"AAAAAF7fta4=")</f>
        <v>#REF!</v>
      </c>
      <c r="FT1" t="e">
        <f>AND(ZORUNLU!#REF!,"AAAAAF7fta8=")</f>
        <v>#REF!</v>
      </c>
      <c r="FU1">
        <f>IF(ZORUNLU!15:15,"AAAAAF7ftbA=",0)</f>
        <v>0</v>
      </c>
      <c r="FV1" t="e">
        <f>AND(ZORUNLU!B14,"AAAAAF7ftbE=")</f>
        <v>#VALUE!</v>
      </c>
      <c r="FW1" t="e">
        <f>AND(ZORUNLU!C14,"AAAAAF7ftbI=")</f>
        <v>#VALUE!</v>
      </c>
      <c r="FX1" t="e">
        <f>AND(ZORUNLU!D14,"AAAAAF7ftbM=")</f>
        <v>#VALUE!</v>
      </c>
      <c r="FY1" t="e">
        <f>AND(ZORUNLU!E14,"AAAAAF7ftbQ=")</f>
        <v>#VALUE!</v>
      </c>
      <c r="FZ1" t="e">
        <f>AND(ZORUNLU!F14,"AAAAAF7ftbU=")</f>
        <v>#VALUE!</v>
      </c>
      <c r="GA1" t="e">
        <f>AND(ZORUNLU!G14,"AAAAAF7ftbY=")</f>
        <v>#VALUE!</v>
      </c>
      <c r="GB1" t="e">
        <f>AND(ZORUNLU!H15,"AAAAAF7ftbc=")</f>
        <v>#VALUE!</v>
      </c>
      <c r="GC1" t="e">
        <f>AND(ZORUNLU!I14,"AAAAAF7ftbg=")</f>
        <v>#VALUE!</v>
      </c>
      <c r="GD1" t="e">
        <f>AND(ZORUNLU!J14,"AAAAAF7ftbk=")</f>
        <v>#VALUE!</v>
      </c>
      <c r="GE1" t="e">
        <f>AND(ZORUNLU!K14,"AAAAAF7ftbo=")</f>
        <v>#VALUE!</v>
      </c>
      <c r="GF1" t="e">
        <f>AND(ZORUNLU!L14,"AAAAAF7ftbs=")</f>
        <v>#VALUE!</v>
      </c>
      <c r="GG1" t="e">
        <f>AND(ZORUNLU!M14,"AAAAAF7ftbw=")</f>
        <v>#VALUE!</v>
      </c>
      <c r="GH1" t="e">
        <f>AND(ZORUNLU!N14,"AAAAAF7ftb0=")</f>
        <v>#VALUE!</v>
      </c>
      <c r="GI1" t="e">
        <f>AND(ZORUNLU!O15,"AAAAAF7ftb4=")</f>
        <v>#VALUE!</v>
      </c>
      <c r="GJ1" t="e">
        <f>AND(ZORUNLU!P15,"AAAAAF7ftb8=")</f>
        <v>#VALUE!</v>
      </c>
      <c r="GK1" t="e">
        <f>AND(ZORUNLU!#REF!,"AAAAAF7ftcA=")</f>
        <v>#REF!</v>
      </c>
      <c r="GL1" t="e">
        <f>AND(ZORUNLU!#REF!,"AAAAAF7ftcE=")</f>
        <v>#REF!</v>
      </c>
      <c r="GM1" t="e">
        <f>AND(ZORUNLU!#REF!,"AAAAAF7ftcI=")</f>
        <v>#REF!</v>
      </c>
      <c r="GN1" t="e">
        <f>AND(ZORUNLU!#REF!,"AAAAAF7ftcM=")</f>
        <v>#REF!</v>
      </c>
      <c r="GO1" t="e">
        <f>AND(ZORUNLU!#REF!,"AAAAAF7ftcQ=")</f>
        <v>#REF!</v>
      </c>
      <c r="GP1" t="e">
        <f>AND(ZORUNLU!#REF!,"AAAAAF7ftcU=")</f>
        <v>#REF!</v>
      </c>
      <c r="GQ1">
        <f>IF(ZORUNLU!17:17,"AAAAAF7ftcY=",0)</f>
        <v>0</v>
      </c>
      <c r="GR1" t="e">
        <f>AND(ZORUNLU!#REF!,"AAAAAF7ftcc=")</f>
        <v>#REF!</v>
      </c>
      <c r="GS1" t="e">
        <f>AND(ZORUNLU!#REF!,"AAAAAF7ftcg=")</f>
        <v>#REF!</v>
      </c>
      <c r="GT1" t="e">
        <f>AND(ZORUNLU!#REF!,"AAAAAF7ftck=")</f>
        <v>#REF!</v>
      </c>
      <c r="GU1" t="e">
        <f>AND(ZORUNLU!#REF!,"AAAAAF7ftco=")</f>
        <v>#REF!</v>
      </c>
      <c r="GV1" t="e">
        <f>AND(ZORUNLU!#REF!,"AAAAAF7ftcs=")</f>
        <v>#REF!</v>
      </c>
      <c r="GW1" t="e">
        <f>AND(ZORUNLU!#REF!,"AAAAAF7ftcw=")</f>
        <v>#REF!</v>
      </c>
      <c r="GX1" t="e">
        <f>AND(ZORUNLU!H17,"AAAAAF7ftc0=")</f>
        <v>#VALUE!</v>
      </c>
      <c r="GY1" t="e">
        <f>AND(ZORUNLU!I17,"AAAAAF7ftc4=")</f>
        <v>#VALUE!</v>
      </c>
      <c r="GZ1" t="e">
        <f>AND(ZORUNLU!J17,"AAAAAF7ftc8=")</f>
        <v>#VALUE!</v>
      </c>
      <c r="HA1" t="e">
        <f>AND(ZORUNLU!K17,"AAAAAF7ftdA=")</f>
        <v>#VALUE!</v>
      </c>
      <c r="HB1" t="e">
        <f>AND(ZORUNLU!L17,"AAAAAF7ftdE=")</f>
        <v>#VALUE!</v>
      </c>
      <c r="HC1" t="e">
        <f>AND(ZORUNLU!M17,"AAAAAF7ftdI=")</f>
        <v>#VALUE!</v>
      </c>
      <c r="HD1" t="e">
        <f>AND(ZORUNLU!N17,"AAAAAF7ftdM=")</f>
        <v>#VALUE!</v>
      </c>
      <c r="HE1" t="e">
        <f>AND(ZORUNLU!O17,"AAAAAF7ftdQ=")</f>
        <v>#VALUE!</v>
      </c>
      <c r="HF1" t="e">
        <f>AND(ZORUNLU!P17,"AAAAAF7ftdU=")</f>
        <v>#VALUE!</v>
      </c>
      <c r="HG1" t="e">
        <f>AND(ZORUNLU!#REF!,"AAAAAF7ftdY=")</f>
        <v>#REF!</v>
      </c>
      <c r="HH1" t="e">
        <f>AND(ZORUNLU!#REF!,"AAAAAF7ftdc=")</f>
        <v>#REF!</v>
      </c>
      <c r="HI1" t="e">
        <f>AND(ZORUNLU!#REF!,"AAAAAF7ftdg=")</f>
        <v>#REF!</v>
      </c>
      <c r="HJ1" t="e">
        <f>AND(ZORUNLU!#REF!,"AAAAAF7ftdk=")</f>
        <v>#REF!</v>
      </c>
      <c r="HK1" t="e">
        <f>AND(ZORUNLU!#REF!,"AAAAAF7ftdo=")</f>
        <v>#REF!</v>
      </c>
      <c r="HL1" t="e">
        <f>AND(ZORUNLU!#REF!,"AAAAAF7ftds=")</f>
        <v>#REF!</v>
      </c>
      <c r="HM1" t="e">
        <f>IF(ZORUNLU!#REF!,"AAAAAF7ftdw=",0)</f>
        <v>#REF!</v>
      </c>
      <c r="HN1" t="e">
        <f>AND(ZORUNLU!B16,"AAAAAF7ftd0=")</f>
        <v>#VALUE!</v>
      </c>
      <c r="HO1" t="e">
        <f>AND(ZORUNLU!C16,"AAAAAF7ftd4=")</f>
        <v>#VALUE!</v>
      </c>
      <c r="HP1" t="e">
        <f>AND(ZORUNLU!D16,"AAAAAF7ftd8=")</f>
        <v>#VALUE!</v>
      </c>
      <c r="HQ1" t="e">
        <f>AND(ZORUNLU!E16,"AAAAAF7fteA=")</f>
        <v>#VALUE!</v>
      </c>
      <c r="HR1" t="e">
        <f>AND(ZORUNLU!F16,"AAAAAF7fteE=")</f>
        <v>#VALUE!</v>
      </c>
      <c r="HS1" t="e">
        <f>AND(ZORUNLU!G16,"AAAAAF7fteI=")</f>
        <v>#VALUE!</v>
      </c>
      <c r="HT1" t="e">
        <f>AND(ZORUNLU!#REF!,"AAAAAF7fteM=")</f>
        <v>#REF!</v>
      </c>
      <c r="HU1" t="e">
        <f>AND(ZORUNLU!I16,"AAAAAF7fteQ=")</f>
        <v>#VALUE!</v>
      </c>
      <c r="HV1" t="e">
        <f>AND(ZORUNLU!J16,"AAAAAF7fteU=")</f>
        <v>#VALUE!</v>
      </c>
      <c r="HW1" t="e">
        <f>AND(ZORUNLU!K16,"AAAAAF7fteY=")</f>
        <v>#VALUE!</v>
      </c>
      <c r="HX1" t="e">
        <f>AND(ZORUNLU!L16,"AAAAAF7ftec=")</f>
        <v>#VALUE!</v>
      </c>
      <c r="HY1" t="e">
        <f>AND(ZORUNLU!M16,"AAAAAF7fteg=")</f>
        <v>#VALUE!</v>
      </c>
      <c r="HZ1" t="e">
        <f>AND(ZORUNLU!N16,"AAAAAF7ftek=")</f>
        <v>#VALUE!</v>
      </c>
      <c r="IA1" t="e">
        <f>AND(ZORUNLU!#REF!,"AAAAAF7fteo=")</f>
        <v>#REF!</v>
      </c>
      <c r="IB1" t="e">
        <f>AND(ZORUNLU!#REF!,"AAAAAF7ftes=")</f>
        <v>#REF!</v>
      </c>
      <c r="IC1" t="e">
        <f>AND(ZORUNLU!#REF!,"AAAAAF7ftew=")</f>
        <v>#REF!</v>
      </c>
      <c r="ID1" t="e">
        <f>AND(ZORUNLU!#REF!,"AAAAAF7fte0=")</f>
        <v>#REF!</v>
      </c>
      <c r="IE1" t="e">
        <f>AND(ZORUNLU!#REF!,"AAAAAF7fte4=")</f>
        <v>#REF!</v>
      </c>
      <c r="IF1" t="e">
        <f>AND(ZORUNLU!#REF!,"AAAAAF7fte8=")</f>
        <v>#REF!</v>
      </c>
      <c r="IG1" t="e">
        <f>AND(ZORUNLU!#REF!,"AAAAAF7ftfA=")</f>
        <v>#REF!</v>
      </c>
      <c r="IH1" t="e">
        <f>AND(ZORUNLU!#REF!,"AAAAAF7ftfE=")</f>
        <v>#REF!</v>
      </c>
      <c r="II1">
        <f>IF(ZORUNLU!18:18,"AAAAAF7ftfI=",0)</f>
        <v>0</v>
      </c>
      <c r="IJ1" t="e">
        <f>AND(ZORUNLU!B18,"AAAAAF7ftfM=")</f>
        <v>#VALUE!</v>
      </c>
      <c r="IK1" t="e">
        <f>AND(ZORUNLU!C18,"AAAAAF7ftfQ=")</f>
        <v>#VALUE!</v>
      </c>
      <c r="IL1" t="e">
        <f>AND(ZORUNLU!D18,"AAAAAF7ftfU=")</f>
        <v>#VALUE!</v>
      </c>
      <c r="IM1" t="e">
        <f>AND(ZORUNLU!E18,"AAAAAF7ftfY=")</f>
        <v>#VALUE!</v>
      </c>
      <c r="IN1" t="e">
        <f>AND(ZORUNLU!F18,"AAAAAF7ftfc=")</f>
        <v>#VALUE!</v>
      </c>
      <c r="IO1" t="e">
        <f>AND(ZORUNLU!G18,"AAAAAF7ftfg=")</f>
        <v>#VALUE!</v>
      </c>
      <c r="IP1" t="e">
        <f>AND(ZORUNLU!H18,"AAAAAF7ftfk=")</f>
        <v>#VALUE!</v>
      </c>
      <c r="IQ1" t="e">
        <f>AND(ZORUNLU!I18,"AAAAAF7ftfo=")</f>
        <v>#VALUE!</v>
      </c>
      <c r="IR1" t="e">
        <f>AND(ZORUNLU!J18,"AAAAAF7ftfs=")</f>
        <v>#VALUE!</v>
      </c>
      <c r="IS1" t="e">
        <f>AND(ZORUNLU!K18,"AAAAAF7ftfw=")</f>
        <v>#VALUE!</v>
      </c>
      <c r="IT1" t="e">
        <f>AND(ZORUNLU!L18,"AAAAAF7ftf0=")</f>
        <v>#VALUE!</v>
      </c>
      <c r="IU1" t="e">
        <f>AND(ZORUNLU!M18,"AAAAAF7ftf4=")</f>
        <v>#VALUE!</v>
      </c>
      <c r="IV1" t="e">
        <f>AND(ZORUNLU!N18,"AAAAAF7ftf8=")</f>
        <v>#VALUE!</v>
      </c>
    </row>
    <row r="2" spans="1:256" x14ac:dyDescent="0.25">
      <c r="A2" t="e">
        <f>AND(ZORUNLU!O18,"AAAAABn//gA=")</f>
        <v>#VALUE!</v>
      </c>
      <c r="B2" t="e">
        <f>AND(ZORUNLU!P18,"AAAAABn//gE=")</f>
        <v>#VALUE!</v>
      </c>
      <c r="C2" t="e">
        <f>AND(ZORUNLU!#REF!,"AAAAABn//gI=")</f>
        <v>#REF!</v>
      </c>
      <c r="D2" t="e">
        <f>AND(ZORUNLU!#REF!,"AAAAABn//gM=")</f>
        <v>#REF!</v>
      </c>
      <c r="E2" t="e">
        <f>AND(ZORUNLU!#REF!,"AAAAABn//gQ=")</f>
        <v>#REF!</v>
      </c>
      <c r="F2" t="e">
        <f>AND(ZORUNLU!#REF!,"AAAAABn//gU=")</f>
        <v>#REF!</v>
      </c>
      <c r="G2" t="e">
        <f>AND(ZORUNLU!#REF!,"AAAAABn//gY=")</f>
        <v>#REF!</v>
      </c>
      <c r="H2" t="e">
        <f>AND(ZORUNLU!#REF!,"AAAAABn//gc=")</f>
        <v>#REF!</v>
      </c>
      <c r="I2" t="e">
        <f>IF(ZORUNLU!20:20,"AAAAABn//gg=",0)</f>
        <v>#VALUE!</v>
      </c>
      <c r="J2" t="e">
        <f>AND(ZORUNLU!B15,"AAAAABn//gk=")</f>
        <v>#VALUE!</v>
      </c>
      <c r="K2" t="e">
        <f>AND(ZORUNLU!C15,"AAAAABn//go=")</f>
        <v>#VALUE!</v>
      </c>
      <c r="L2" t="e">
        <f>AND(ZORUNLU!D15,"AAAAABn//gs=")</f>
        <v>#VALUE!</v>
      </c>
      <c r="M2" t="e">
        <f>AND(ZORUNLU!E15,"AAAAABn//gw=")</f>
        <v>#VALUE!</v>
      </c>
      <c r="N2" t="e">
        <f>AND(ZORUNLU!F15,"AAAAABn//g0=")</f>
        <v>#VALUE!</v>
      </c>
      <c r="O2" t="e">
        <f>AND(ZORUNLU!G15,"AAAAABn//g4=")</f>
        <v>#VALUE!</v>
      </c>
      <c r="P2" t="e">
        <f>AND(ZORUNLU!H20,"AAAAABn//g8=")</f>
        <v>#VALUE!</v>
      </c>
      <c r="Q2" t="e">
        <f>AND(ZORUNLU!I15,"AAAAABn//hA=")</f>
        <v>#VALUE!</v>
      </c>
      <c r="R2" t="e">
        <f>AND(ZORUNLU!J15,"AAAAABn//hE=")</f>
        <v>#VALUE!</v>
      </c>
      <c r="S2" t="e">
        <f>AND(ZORUNLU!K15,"AAAAABn//hI=")</f>
        <v>#VALUE!</v>
      </c>
      <c r="T2" t="e">
        <f>AND(ZORUNLU!L15,"AAAAABn//hM=")</f>
        <v>#VALUE!</v>
      </c>
      <c r="U2" t="e">
        <f>AND(ZORUNLU!M15,"AAAAABn//hQ=")</f>
        <v>#VALUE!</v>
      </c>
      <c r="V2" t="e">
        <f>AND(ZORUNLU!N15,"AAAAABn//hU=")</f>
        <v>#VALUE!</v>
      </c>
      <c r="W2" t="e">
        <f>AND(ZORUNLU!O20,"AAAAABn//hY=")</f>
        <v>#VALUE!</v>
      </c>
      <c r="X2" t="e">
        <f>AND(ZORUNLU!P20,"AAAAABn//hc=")</f>
        <v>#VALUE!</v>
      </c>
      <c r="Y2" t="e">
        <f>AND(ZORUNLU!#REF!,"AAAAABn//hg=")</f>
        <v>#REF!</v>
      </c>
      <c r="Z2" t="e">
        <f>AND(ZORUNLU!#REF!,"AAAAABn//hk=")</f>
        <v>#REF!</v>
      </c>
      <c r="AA2" t="e">
        <f>AND(ZORUNLU!#REF!,"AAAAABn//ho=")</f>
        <v>#REF!</v>
      </c>
      <c r="AB2" t="e">
        <f>AND(ZORUNLU!#REF!,"AAAAABn//hs=")</f>
        <v>#REF!</v>
      </c>
      <c r="AC2" t="e">
        <f>AND(ZORUNLU!#REF!,"AAAAABn//hw=")</f>
        <v>#REF!</v>
      </c>
      <c r="AD2" t="e">
        <f>AND(ZORUNLU!#REF!,"AAAAABn//h0=")</f>
        <v>#REF!</v>
      </c>
      <c r="AE2" t="e">
        <f>IF(ZORUNLU!#REF!,"AAAAABn//h4=",0)</f>
        <v>#REF!</v>
      </c>
      <c r="AF2" t="e">
        <f>AND(ZORUNLU!B19,"AAAAABn//h8=")</f>
        <v>#VALUE!</v>
      </c>
      <c r="AG2" t="e">
        <f>AND(ZORUNLU!C19,"AAAAABn//iA=")</f>
        <v>#VALUE!</v>
      </c>
      <c r="AH2" t="e">
        <f>AND(ZORUNLU!D19,"AAAAABn//iE=")</f>
        <v>#VALUE!</v>
      </c>
      <c r="AI2" t="e">
        <f>AND(ZORUNLU!E19,"AAAAABn//iI=")</f>
        <v>#VALUE!</v>
      </c>
      <c r="AJ2" t="e">
        <f>AND(ZORUNLU!F19,"AAAAABn//iM=")</f>
        <v>#VALUE!</v>
      </c>
      <c r="AK2" t="e">
        <f>AND(ZORUNLU!G19,"AAAAABn//iQ=")</f>
        <v>#VALUE!</v>
      </c>
      <c r="AL2" t="e">
        <f>AND(ZORUNLU!#REF!,"AAAAABn//iU=")</f>
        <v>#REF!</v>
      </c>
      <c r="AM2" t="e">
        <f>AND(ZORUNLU!I19,"AAAAABn//iY=")</f>
        <v>#VALUE!</v>
      </c>
      <c r="AN2" t="e">
        <f>AND(ZORUNLU!J19,"AAAAABn//ic=")</f>
        <v>#VALUE!</v>
      </c>
      <c r="AO2" t="e">
        <f>AND(ZORUNLU!#REF!,"AAAAABn//ig=")</f>
        <v>#REF!</v>
      </c>
      <c r="AP2" t="e">
        <f>AND(ZORUNLU!#REF!,"AAAAABn//ik=")</f>
        <v>#REF!</v>
      </c>
      <c r="AQ2" t="e">
        <f>AND(ZORUNLU!#REF!,"AAAAABn//io=")</f>
        <v>#REF!</v>
      </c>
      <c r="AR2" t="e">
        <f>AND(ZORUNLU!#REF!,"AAAAABn//is=")</f>
        <v>#REF!</v>
      </c>
      <c r="AS2" t="e">
        <f>AND(ZORUNLU!#REF!,"AAAAABn//iw=")</f>
        <v>#REF!</v>
      </c>
      <c r="AT2" t="e">
        <f>AND(ZORUNLU!#REF!,"AAAAABn//i0=")</f>
        <v>#REF!</v>
      </c>
      <c r="AU2" t="e">
        <f>AND(ZORUNLU!#REF!,"AAAAABn//i4=")</f>
        <v>#REF!</v>
      </c>
      <c r="AV2" t="e">
        <f>AND(ZORUNLU!#REF!,"AAAAABn//i8=")</f>
        <v>#REF!</v>
      </c>
      <c r="AW2" t="e">
        <f>AND(ZORUNLU!#REF!,"AAAAABn//jA=")</f>
        <v>#REF!</v>
      </c>
      <c r="AX2" t="e">
        <f>AND(ZORUNLU!#REF!,"AAAAABn//jE=")</f>
        <v>#REF!</v>
      </c>
      <c r="AY2" t="e">
        <f>AND(ZORUNLU!#REF!,"AAAAABn//jI=")</f>
        <v>#REF!</v>
      </c>
      <c r="AZ2" t="e">
        <f>AND(ZORUNLU!#REF!,"AAAAABn//jM=")</f>
        <v>#REF!</v>
      </c>
      <c r="BA2">
        <f>IF(ZORUNLU!22:22,"AAAAABn//jQ=",0)</f>
        <v>0</v>
      </c>
      <c r="BB2" t="e">
        <f>AND(ZORUNLU!B21,"AAAAABn//jU=")</f>
        <v>#VALUE!</v>
      </c>
      <c r="BC2" t="e">
        <f>AND(ZORUNLU!C21,"AAAAABn//jY=")</f>
        <v>#VALUE!</v>
      </c>
      <c r="BD2" t="e">
        <f>AND(ZORUNLU!D21,"AAAAABn//jc=")</f>
        <v>#VALUE!</v>
      </c>
      <c r="BE2" t="e">
        <f>AND(ZORUNLU!E21,"AAAAABn//jg=")</f>
        <v>#VALUE!</v>
      </c>
      <c r="BF2" t="e">
        <f>AND(ZORUNLU!F21,"AAAAABn//jk=")</f>
        <v>#VALUE!</v>
      </c>
      <c r="BG2" t="e">
        <f>AND(ZORUNLU!G21,"AAAAABn//jo=")</f>
        <v>#VALUE!</v>
      </c>
      <c r="BH2" t="e">
        <f>AND(ZORUNLU!H22,"AAAAABn//js=")</f>
        <v>#VALUE!</v>
      </c>
      <c r="BI2" t="e">
        <f>AND(ZORUNLU!I21,"AAAAABn//jw=")</f>
        <v>#VALUE!</v>
      </c>
      <c r="BJ2" t="e">
        <f>AND(ZORUNLU!J21,"AAAAABn//j0=")</f>
        <v>#VALUE!</v>
      </c>
      <c r="BK2" t="e">
        <f>AND(ZORUNLU!K21,"AAAAABn//j4=")</f>
        <v>#VALUE!</v>
      </c>
      <c r="BL2" t="e">
        <f>AND(ZORUNLU!L21,"AAAAABn//j8=")</f>
        <v>#VALUE!</v>
      </c>
      <c r="BM2" t="e">
        <f>AND(ZORUNLU!M21,"AAAAABn//kA=")</f>
        <v>#VALUE!</v>
      </c>
      <c r="BN2" t="e">
        <f>AND(ZORUNLU!N21,"AAAAABn//kE=")</f>
        <v>#VALUE!</v>
      </c>
      <c r="BO2" t="e">
        <f>AND(ZORUNLU!O22,"AAAAABn//kI=")</f>
        <v>#VALUE!</v>
      </c>
      <c r="BP2" t="e">
        <f>AND(ZORUNLU!P22,"AAAAABn//kM=")</f>
        <v>#VALUE!</v>
      </c>
      <c r="BQ2" t="e">
        <f>AND(ZORUNLU!#REF!,"AAAAABn//kQ=")</f>
        <v>#REF!</v>
      </c>
      <c r="BR2" t="e">
        <f>AND(ZORUNLU!#REF!,"AAAAABn//kU=")</f>
        <v>#REF!</v>
      </c>
      <c r="BS2" t="e">
        <f>AND(ZORUNLU!#REF!,"AAAAABn//kY=")</f>
        <v>#REF!</v>
      </c>
      <c r="BT2" t="e">
        <f>AND(ZORUNLU!#REF!,"AAAAABn//kc=")</f>
        <v>#REF!</v>
      </c>
      <c r="BU2" t="e">
        <f>AND(ZORUNLU!#REF!,"AAAAABn//kg=")</f>
        <v>#REF!</v>
      </c>
      <c r="BV2" t="e">
        <f>AND(ZORUNLU!#REF!,"AAAAABn//kk=")</f>
        <v>#REF!</v>
      </c>
      <c r="BW2">
        <f>IF(ZORUNLU!23:23,"AAAAABn//ko=",0)</f>
        <v>0</v>
      </c>
      <c r="BX2" t="e">
        <f>AND(ZORUNLU!B22,"AAAAABn//ks=")</f>
        <v>#VALUE!</v>
      </c>
      <c r="BY2" t="e">
        <f>AND(ZORUNLU!C22,"AAAAABn//kw=")</f>
        <v>#VALUE!</v>
      </c>
      <c r="BZ2" t="e">
        <f>AND(ZORUNLU!D22,"AAAAABn//k0=")</f>
        <v>#VALUE!</v>
      </c>
      <c r="CA2" t="e">
        <f>AND(ZORUNLU!E22,"AAAAABn//k4=")</f>
        <v>#VALUE!</v>
      </c>
      <c r="CB2" t="e">
        <f>AND(ZORUNLU!F22,"AAAAABn//k8=")</f>
        <v>#VALUE!</v>
      </c>
      <c r="CC2" t="e">
        <f>AND(ZORUNLU!G22,"AAAAABn//lA=")</f>
        <v>#VALUE!</v>
      </c>
      <c r="CD2" t="e">
        <f>AND(ZORUNLU!H23,"AAAAABn//lE=")</f>
        <v>#VALUE!</v>
      </c>
      <c r="CE2" t="e">
        <f>AND(ZORUNLU!I22,"AAAAABn//lI=")</f>
        <v>#VALUE!</v>
      </c>
      <c r="CF2" t="e">
        <f>AND(ZORUNLU!J22,"AAAAABn//lM=")</f>
        <v>#VALUE!</v>
      </c>
      <c r="CG2" t="e">
        <f>AND(ZORUNLU!K22,"AAAAABn//lQ=")</f>
        <v>#VALUE!</v>
      </c>
      <c r="CH2" t="e">
        <f>AND(ZORUNLU!L22,"AAAAABn//lU=")</f>
        <v>#VALUE!</v>
      </c>
      <c r="CI2" t="e">
        <f>AND(ZORUNLU!M22,"AAAAABn//lY=")</f>
        <v>#VALUE!</v>
      </c>
      <c r="CJ2" t="e">
        <f>AND(ZORUNLU!N22,"AAAAABn//lc=")</f>
        <v>#VALUE!</v>
      </c>
      <c r="CK2" t="e">
        <f>AND(ZORUNLU!O23,"AAAAABn//lg=")</f>
        <v>#VALUE!</v>
      </c>
      <c r="CL2" t="e">
        <f>AND(ZORUNLU!P23,"AAAAABn//lk=")</f>
        <v>#VALUE!</v>
      </c>
      <c r="CM2" t="e">
        <f>AND(ZORUNLU!#REF!,"AAAAABn//lo=")</f>
        <v>#REF!</v>
      </c>
      <c r="CN2" t="e">
        <f>AND(ZORUNLU!#REF!,"AAAAABn//ls=")</f>
        <v>#REF!</v>
      </c>
      <c r="CO2" t="e">
        <f>AND(ZORUNLU!#REF!,"AAAAABn//lw=")</f>
        <v>#REF!</v>
      </c>
      <c r="CP2" t="e">
        <f>AND(ZORUNLU!#REF!,"AAAAABn//l0=")</f>
        <v>#REF!</v>
      </c>
      <c r="CQ2" t="e">
        <f>AND(ZORUNLU!#REF!,"AAAAABn//l4=")</f>
        <v>#REF!</v>
      </c>
      <c r="CR2" t="e">
        <f>AND(ZORUNLU!#REF!,"AAAAABn//l8=")</f>
        <v>#REF!</v>
      </c>
      <c r="CS2">
        <f>IF(ZORUNLU!24:24,"AAAAABn//mA=",0)</f>
        <v>0</v>
      </c>
      <c r="CT2" t="e">
        <f>AND(ZORUNLU!B24,"AAAAABn//mE=")</f>
        <v>#VALUE!</v>
      </c>
      <c r="CU2" t="e">
        <f>AND(ZORUNLU!C24,"AAAAABn//mI=")</f>
        <v>#VALUE!</v>
      </c>
      <c r="CV2" t="e">
        <f>AND(ZORUNLU!D24,"AAAAABn//mM=")</f>
        <v>#VALUE!</v>
      </c>
      <c r="CW2" t="e">
        <f>AND(ZORUNLU!E24,"AAAAABn//mQ=")</f>
        <v>#VALUE!</v>
      </c>
      <c r="CX2" t="e">
        <f>AND(ZORUNLU!F24,"AAAAABn//mU=")</f>
        <v>#VALUE!</v>
      </c>
      <c r="CY2" t="e">
        <f>AND(ZORUNLU!G24,"AAAAABn//mY=")</f>
        <v>#VALUE!</v>
      </c>
      <c r="CZ2" t="e">
        <f>AND(ZORUNLU!H24,"AAAAABn//mc=")</f>
        <v>#VALUE!</v>
      </c>
      <c r="DA2" t="e">
        <f>AND(ZORUNLU!I24,"AAAAABn//mg=")</f>
        <v>#VALUE!</v>
      </c>
      <c r="DB2" t="e">
        <f>AND(ZORUNLU!J24,"AAAAABn//mk=")</f>
        <v>#VALUE!</v>
      </c>
      <c r="DC2" t="e">
        <f>AND(ZORUNLU!K24,"AAAAABn//mo=")</f>
        <v>#VALUE!</v>
      </c>
      <c r="DD2" t="e">
        <f>AND(ZORUNLU!L24,"AAAAABn//ms=")</f>
        <v>#VALUE!</v>
      </c>
      <c r="DE2" t="e">
        <f>AND(ZORUNLU!M24,"AAAAABn//mw=")</f>
        <v>#VALUE!</v>
      </c>
      <c r="DF2" t="e">
        <f>AND(ZORUNLU!N24,"AAAAABn//m0=")</f>
        <v>#VALUE!</v>
      </c>
      <c r="DG2" t="e">
        <f>AND(ZORUNLU!O24,"AAAAABn//m4=")</f>
        <v>#VALUE!</v>
      </c>
      <c r="DH2" t="e">
        <f>AND(ZORUNLU!P24,"AAAAABn//m8=")</f>
        <v>#VALUE!</v>
      </c>
      <c r="DI2" t="e">
        <f>AND(ZORUNLU!#REF!,"AAAAABn//nA=")</f>
        <v>#REF!</v>
      </c>
      <c r="DJ2" t="e">
        <f>AND(ZORUNLU!#REF!,"AAAAABn//nE=")</f>
        <v>#REF!</v>
      </c>
      <c r="DK2" t="e">
        <f>AND(ZORUNLU!#REF!,"AAAAABn//nI=")</f>
        <v>#REF!</v>
      </c>
      <c r="DL2" t="e">
        <f>AND(ZORUNLU!#REF!,"AAAAABn//nM=")</f>
        <v>#REF!</v>
      </c>
      <c r="DM2" t="e">
        <f>AND(ZORUNLU!#REF!,"AAAAABn//nQ=")</f>
        <v>#REF!</v>
      </c>
      <c r="DN2" t="e">
        <f>AND(ZORUNLU!#REF!,"AAAAABn//nU=")</f>
        <v>#REF!</v>
      </c>
      <c r="DO2">
        <f>IF(ZORUNLU!25:25,"AAAAABn//nY=",0)</f>
        <v>0</v>
      </c>
      <c r="DP2" t="e">
        <f>AND(ZORUNLU!B25,"AAAAABn//nc=")</f>
        <v>#VALUE!</v>
      </c>
      <c r="DQ2" t="e">
        <f>AND(ZORUNLU!C25,"AAAAABn//ng=")</f>
        <v>#VALUE!</v>
      </c>
      <c r="DR2" t="e">
        <f>AND(ZORUNLU!D25,"AAAAABn//nk=")</f>
        <v>#VALUE!</v>
      </c>
      <c r="DS2" t="e">
        <f>AND(ZORUNLU!E25,"AAAAABn//no=")</f>
        <v>#VALUE!</v>
      </c>
      <c r="DT2" t="e">
        <f>AND(ZORUNLU!F25,"AAAAABn//ns=")</f>
        <v>#VALUE!</v>
      </c>
      <c r="DU2" t="e">
        <f>AND(ZORUNLU!G25,"AAAAABn//nw=")</f>
        <v>#VALUE!</v>
      </c>
      <c r="DV2" t="e">
        <f>AND(ZORUNLU!H25,"AAAAABn//n0=")</f>
        <v>#VALUE!</v>
      </c>
      <c r="DW2" t="e">
        <f>AND(ZORUNLU!I25,"AAAAABn//n4=")</f>
        <v>#VALUE!</v>
      </c>
      <c r="DX2" t="e">
        <f>AND(ZORUNLU!J25,"AAAAABn//n8=")</f>
        <v>#VALUE!</v>
      </c>
      <c r="DY2" t="e">
        <f>AND(ZORUNLU!K25,"AAAAABn//oA=")</f>
        <v>#VALUE!</v>
      </c>
      <c r="DZ2" t="e">
        <f>AND(ZORUNLU!L25,"AAAAABn//oE=")</f>
        <v>#VALUE!</v>
      </c>
      <c r="EA2" t="e">
        <f>AND(ZORUNLU!M25,"AAAAABn//oI=")</f>
        <v>#VALUE!</v>
      </c>
      <c r="EB2" t="e">
        <f>AND(ZORUNLU!N25,"AAAAABn//oM=")</f>
        <v>#VALUE!</v>
      </c>
      <c r="EC2" t="e">
        <f>AND(ZORUNLU!O25,"AAAAABn//oQ=")</f>
        <v>#VALUE!</v>
      </c>
      <c r="ED2" t="e">
        <f>AND(ZORUNLU!P25,"AAAAABn//oU=")</f>
        <v>#VALUE!</v>
      </c>
      <c r="EE2" t="e">
        <f>AND(ZORUNLU!#REF!,"AAAAABn//oY=")</f>
        <v>#REF!</v>
      </c>
      <c r="EF2" t="e">
        <f>AND(ZORUNLU!#REF!,"AAAAABn//oc=")</f>
        <v>#REF!</v>
      </c>
      <c r="EG2" t="e">
        <f>AND(ZORUNLU!#REF!,"AAAAABn//og=")</f>
        <v>#REF!</v>
      </c>
      <c r="EH2" t="e">
        <f>AND(ZORUNLU!#REF!,"AAAAABn//ok=")</f>
        <v>#REF!</v>
      </c>
      <c r="EI2" t="e">
        <f>AND(ZORUNLU!#REF!,"AAAAABn//oo=")</f>
        <v>#REF!</v>
      </c>
      <c r="EJ2" t="e">
        <f>AND(ZORUNLU!#REF!,"AAAAABn//os=")</f>
        <v>#REF!</v>
      </c>
      <c r="EK2">
        <f>IF(ZORUNLU!26:26,"AAAAABn//ow=",0)</f>
        <v>0</v>
      </c>
      <c r="EL2" t="e">
        <f>AND(ZORUNLU!B26,"AAAAABn//o0=")</f>
        <v>#VALUE!</v>
      </c>
      <c r="EM2" t="e">
        <f>AND(ZORUNLU!C26,"AAAAABn//o4=")</f>
        <v>#VALUE!</v>
      </c>
      <c r="EN2" t="e">
        <f>AND(ZORUNLU!D26,"AAAAABn//o8=")</f>
        <v>#VALUE!</v>
      </c>
      <c r="EO2" t="e">
        <f>AND(ZORUNLU!E26,"AAAAABn//pA=")</f>
        <v>#VALUE!</v>
      </c>
      <c r="EP2" t="e">
        <f>AND(ZORUNLU!F26,"AAAAABn//pE=")</f>
        <v>#VALUE!</v>
      </c>
      <c r="EQ2" t="e">
        <f>AND(ZORUNLU!G26,"AAAAABn//pI=")</f>
        <v>#VALUE!</v>
      </c>
      <c r="ER2" t="e">
        <f>AND(ZORUNLU!H26,"AAAAABn//pM=")</f>
        <v>#VALUE!</v>
      </c>
      <c r="ES2" t="e">
        <f>AND(ZORUNLU!I26,"AAAAABn//pQ=")</f>
        <v>#VALUE!</v>
      </c>
      <c r="ET2" t="e">
        <f>AND(ZORUNLU!J26,"AAAAABn//pU=")</f>
        <v>#VALUE!</v>
      </c>
      <c r="EU2" t="e">
        <f>AND(ZORUNLU!K26,"AAAAABn//pY=")</f>
        <v>#VALUE!</v>
      </c>
      <c r="EV2" t="e">
        <f>AND(ZORUNLU!L26,"AAAAABn//pc=")</f>
        <v>#VALUE!</v>
      </c>
      <c r="EW2" t="e">
        <f>AND(ZORUNLU!M26,"AAAAABn//pg=")</f>
        <v>#VALUE!</v>
      </c>
      <c r="EX2" t="e">
        <f>AND(ZORUNLU!N26,"AAAAABn//pk=")</f>
        <v>#VALUE!</v>
      </c>
      <c r="EY2" t="e">
        <f>AND(ZORUNLU!O26,"AAAAABn//po=")</f>
        <v>#VALUE!</v>
      </c>
      <c r="EZ2" t="e">
        <f>AND(ZORUNLU!P26,"AAAAABn//ps=")</f>
        <v>#VALUE!</v>
      </c>
      <c r="FA2" t="e">
        <f>AND(ZORUNLU!#REF!,"AAAAABn//pw=")</f>
        <v>#REF!</v>
      </c>
      <c r="FB2" t="e">
        <f>AND(ZORUNLU!#REF!,"AAAAABn//p0=")</f>
        <v>#REF!</v>
      </c>
      <c r="FC2" t="e">
        <f>AND(ZORUNLU!#REF!,"AAAAABn//p4=")</f>
        <v>#REF!</v>
      </c>
      <c r="FD2" t="e">
        <f>AND(ZORUNLU!#REF!,"AAAAABn//p8=")</f>
        <v>#REF!</v>
      </c>
      <c r="FE2" t="e">
        <f>AND(ZORUNLU!#REF!,"AAAAABn//qA=")</f>
        <v>#REF!</v>
      </c>
      <c r="FF2" t="e">
        <f>AND(ZORUNLU!#REF!,"AAAAABn//qE=")</f>
        <v>#REF!</v>
      </c>
      <c r="FG2">
        <f>IF(ZORUNLU!27:27,"AAAAABn//qI=",0)</f>
        <v>0</v>
      </c>
      <c r="FH2" t="e">
        <f>AND(ZORUNLU!B27,"AAAAABn//qM=")</f>
        <v>#VALUE!</v>
      </c>
      <c r="FI2" t="e">
        <f>AND(ZORUNLU!C27,"AAAAABn//qQ=")</f>
        <v>#VALUE!</v>
      </c>
      <c r="FJ2" t="e">
        <f>AND(ZORUNLU!D27,"AAAAABn//qU=")</f>
        <v>#VALUE!</v>
      </c>
      <c r="FK2" t="e">
        <f>AND(ZORUNLU!E27,"AAAAABn//qY=")</f>
        <v>#VALUE!</v>
      </c>
      <c r="FL2" t="e">
        <f>AND(ZORUNLU!F27,"AAAAABn//qc=")</f>
        <v>#VALUE!</v>
      </c>
      <c r="FM2" t="e">
        <f>AND(ZORUNLU!G27,"AAAAABn//qg=")</f>
        <v>#VALUE!</v>
      </c>
      <c r="FN2" t="e">
        <f>AND(ZORUNLU!H27,"AAAAABn//qk=")</f>
        <v>#VALUE!</v>
      </c>
      <c r="FO2" t="e">
        <f>AND(ZORUNLU!I27,"AAAAABn//qo=")</f>
        <v>#VALUE!</v>
      </c>
      <c r="FP2" t="e">
        <f>AND(ZORUNLU!J27,"AAAAABn//qs=")</f>
        <v>#VALUE!</v>
      </c>
      <c r="FQ2" t="e">
        <f>AND(ZORUNLU!K27,"AAAAABn//qw=")</f>
        <v>#VALUE!</v>
      </c>
      <c r="FR2" t="e">
        <f>AND(ZORUNLU!L27,"AAAAABn//q0=")</f>
        <v>#VALUE!</v>
      </c>
      <c r="FS2" t="e">
        <f>AND(ZORUNLU!M27,"AAAAABn//q4=")</f>
        <v>#VALUE!</v>
      </c>
      <c r="FT2" t="e">
        <f>AND(ZORUNLU!N27,"AAAAABn//q8=")</f>
        <v>#VALUE!</v>
      </c>
      <c r="FU2" t="e">
        <f>AND(ZORUNLU!O27,"AAAAABn//rA=")</f>
        <v>#VALUE!</v>
      </c>
      <c r="FV2" t="e">
        <f>AND(ZORUNLU!P27,"AAAAABn//rE=")</f>
        <v>#VALUE!</v>
      </c>
      <c r="FW2" t="e">
        <f>AND(ZORUNLU!#REF!,"AAAAABn//rI=")</f>
        <v>#REF!</v>
      </c>
      <c r="FX2" t="e">
        <f>AND(ZORUNLU!#REF!,"AAAAABn//rM=")</f>
        <v>#REF!</v>
      </c>
      <c r="FY2" t="e">
        <f>AND(ZORUNLU!#REF!,"AAAAABn//rQ=")</f>
        <v>#REF!</v>
      </c>
      <c r="FZ2" t="e">
        <f>AND(ZORUNLU!#REF!,"AAAAABn//rU=")</f>
        <v>#REF!</v>
      </c>
      <c r="GA2" t="e">
        <f>AND(ZORUNLU!#REF!,"AAAAABn//rY=")</f>
        <v>#REF!</v>
      </c>
      <c r="GB2" t="e">
        <f>AND(ZORUNLU!#REF!,"AAAAABn//rc=")</f>
        <v>#REF!</v>
      </c>
      <c r="GC2">
        <f>IF(ZORUNLU!28:28,"AAAAABn//rg=",0)</f>
        <v>0</v>
      </c>
      <c r="GD2" t="e">
        <f>AND(ZORUNLU!B28,"AAAAABn//rk=")</f>
        <v>#VALUE!</v>
      </c>
      <c r="GE2" t="e">
        <f>AND(ZORUNLU!C28,"AAAAABn//ro=")</f>
        <v>#VALUE!</v>
      </c>
      <c r="GF2" t="e">
        <f>AND(ZORUNLU!D28,"AAAAABn//rs=")</f>
        <v>#VALUE!</v>
      </c>
      <c r="GG2" t="e">
        <f>AND(ZORUNLU!E28,"AAAAABn//rw=")</f>
        <v>#VALUE!</v>
      </c>
      <c r="GH2" t="e">
        <f>AND(ZORUNLU!F28,"AAAAABn//r0=")</f>
        <v>#VALUE!</v>
      </c>
      <c r="GI2" t="e">
        <f>AND(ZORUNLU!G28,"AAAAABn//r4=")</f>
        <v>#VALUE!</v>
      </c>
      <c r="GJ2" t="e">
        <f>AND(ZORUNLU!H28,"AAAAABn//r8=")</f>
        <v>#VALUE!</v>
      </c>
      <c r="GK2" t="e">
        <f>AND(ZORUNLU!I28,"AAAAABn//sA=")</f>
        <v>#VALUE!</v>
      </c>
      <c r="GL2" t="e">
        <f>AND(ZORUNLU!J28,"AAAAABn//sE=")</f>
        <v>#VALUE!</v>
      </c>
      <c r="GM2" t="e">
        <f>AND(ZORUNLU!K28,"AAAAABn//sI=")</f>
        <v>#VALUE!</v>
      </c>
      <c r="GN2" t="e">
        <f>AND(ZORUNLU!L28,"AAAAABn//sM=")</f>
        <v>#VALUE!</v>
      </c>
      <c r="GO2" t="e">
        <f>AND(ZORUNLU!M28,"AAAAABn//sQ=")</f>
        <v>#VALUE!</v>
      </c>
      <c r="GP2" t="e">
        <f>AND(ZORUNLU!N28,"AAAAABn//sU=")</f>
        <v>#VALUE!</v>
      </c>
      <c r="GQ2" t="e">
        <f>AND(ZORUNLU!O28,"AAAAABn//sY=")</f>
        <v>#VALUE!</v>
      </c>
      <c r="GR2" t="e">
        <f>AND(ZORUNLU!P28,"AAAAABn//sc=")</f>
        <v>#VALUE!</v>
      </c>
      <c r="GS2" t="e">
        <f>AND(ZORUNLU!#REF!,"AAAAABn//sg=")</f>
        <v>#REF!</v>
      </c>
      <c r="GT2" t="e">
        <f>AND(ZORUNLU!#REF!,"AAAAABn//sk=")</f>
        <v>#REF!</v>
      </c>
      <c r="GU2" t="e">
        <f>AND(ZORUNLU!#REF!,"AAAAABn//so=")</f>
        <v>#REF!</v>
      </c>
      <c r="GV2" t="e">
        <f>AND(ZORUNLU!#REF!,"AAAAABn//ss=")</f>
        <v>#REF!</v>
      </c>
      <c r="GW2" t="e">
        <f>AND(ZORUNLU!#REF!,"AAAAABn//sw=")</f>
        <v>#REF!</v>
      </c>
      <c r="GX2" t="e">
        <f>AND(ZORUNLU!#REF!,"AAAAABn//s0=")</f>
        <v>#REF!</v>
      </c>
      <c r="GY2" t="e">
        <f>IF(ZORUNLU!#REF!,"AAAAABn//s4=",0)</f>
        <v>#REF!</v>
      </c>
      <c r="GZ2" t="e">
        <f>AND(ZORUNLU!B33,"AAAAABn//s8=")</f>
        <v>#VALUE!</v>
      </c>
      <c r="HA2" t="e">
        <f>AND(ZORUNLU!C33,"AAAAABn//tA=")</f>
        <v>#VALUE!</v>
      </c>
      <c r="HB2" t="e">
        <f>AND(ZORUNLU!D33,"AAAAABn//tE=")</f>
        <v>#VALUE!</v>
      </c>
      <c r="HC2" t="e">
        <f>AND(ZORUNLU!E33,"AAAAABn//tI=")</f>
        <v>#VALUE!</v>
      </c>
      <c r="HD2" t="e">
        <f>AND(ZORUNLU!F33,"AAAAABn//tM=")</f>
        <v>#VALUE!</v>
      </c>
      <c r="HE2" t="e">
        <f>AND(ZORUNLU!G33,"AAAAABn//tQ=")</f>
        <v>#VALUE!</v>
      </c>
      <c r="HF2" t="e">
        <f>AND(ZORUNLU!#REF!,"AAAAABn//tU=")</f>
        <v>#REF!</v>
      </c>
      <c r="HG2" t="e">
        <f>AND(ZORUNLU!I33,"AAAAABn//tY=")</f>
        <v>#VALUE!</v>
      </c>
      <c r="HH2" t="e">
        <f>AND(ZORUNLU!J33,"AAAAABn//tc=")</f>
        <v>#VALUE!</v>
      </c>
      <c r="HI2" t="e">
        <f>AND(ZORUNLU!K33,"AAAAABn//tg=")</f>
        <v>#VALUE!</v>
      </c>
      <c r="HJ2" t="e">
        <f>AND(ZORUNLU!L33,"AAAAABn//tk=")</f>
        <v>#VALUE!</v>
      </c>
      <c r="HK2" t="e">
        <f>AND(ZORUNLU!M33,"AAAAABn//to=")</f>
        <v>#VALUE!</v>
      </c>
      <c r="HL2" t="e">
        <f>AND(ZORUNLU!N33,"AAAAABn//ts=")</f>
        <v>#VALUE!</v>
      </c>
      <c r="HM2" t="e">
        <f>AND(ZORUNLU!#REF!,"AAAAABn//tw=")</f>
        <v>#REF!</v>
      </c>
      <c r="HN2" t="e">
        <f>AND(ZORUNLU!#REF!,"AAAAABn//t0=")</f>
        <v>#REF!</v>
      </c>
      <c r="HO2" t="e">
        <f>AND(ZORUNLU!#REF!,"AAAAABn//t4=")</f>
        <v>#REF!</v>
      </c>
      <c r="HP2" t="e">
        <f>AND(ZORUNLU!#REF!,"AAAAABn//t8=")</f>
        <v>#REF!</v>
      </c>
      <c r="HQ2" t="e">
        <f>AND(ZORUNLU!#REF!,"AAAAABn//uA=")</f>
        <v>#REF!</v>
      </c>
      <c r="HR2" t="e">
        <f>AND(ZORUNLU!#REF!,"AAAAABn//uE=")</f>
        <v>#REF!</v>
      </c>
      <c r="HS2" t="e">
        <f>AND(ZORUNLU!#REF!,"AAAAABn//uI=")</f>
        <v>#REF!</v>
      </c>
      <c r="HT2" t="e">
        <f>AND(ZORUNLU!#REF!,"AAAAABn//uM=")</f>
        <v>#REF!</v>
      </c>
      <c r="HU2" t="e">
        <f>IF(ZORUNLU!#REF!,"AAAAABn//uQ=",0)</f>
        <v>#REF!</v>
      </c>
      <c r="HV2" t="e">
        <f>AND(ZORUNLU!#REF!,"AAAAABn//uU=")</f>
        <v>#REF!</v>
      </c>
      <c r="HW2" t="e">
        <f>AND(ZORUNLU!#REF!,"AAAAABn//uY=")</f>
        <v>#REF!</v>
      </c>
      <c r="HX2" t="e">
        <f>AND(ZORUNLU!#REF!,"AAAAABn//uc=")</f>
        <v>#REF!</v>
      </c>
      <c r="HY2" t="e">
        <f>AND(ZORUNLU!#REF!,"AAAAABn//ug=")</f>
        <v>#REF!</v>
      </c>
      <c r="HZ2" t="e">
        <f>AND(ZORUNLU!#REF!,"AAAAABn//uk=")</f>
        <v>#REF!</v>
      </c>
      <c r="IA2" t="e">
        <f>AND(ZORUNLU!#REF!,"AAAAABn//uo=")</f>
        <v>#REF!</v>
      </c>
      <c r="IB2" t="e">
        <f>AND(ZORUNLU!#REF!,"AAAAABn//us=")</f>
        <v>#REF!</v>
      </c>
      <c r="IC2" t="e">
        <f>AND(ZORUNLU!#REF!,"AAAAABn//uw=")</f>
        <v>#REF!</v>
      </c>
      <c r="ID2" t="e">
        <f>AND(ZORUNLU!#REF!,"AAAAABn//u0=")</f>
        <v>#REF!</v>
      </c>
      <c r="IE2" t="e">
        <f>AND(ZORUNLU!#REF!,"AAAAABn//u4=")</f>
        <v>#REF!</v>
      </c>
      <c r="IF2" t="e">
        <f>AND(ZORUNLU!#REF!,"AAAAABn//u8=")</f>
        <v>#REF!</v>
      </c>
      <c r="IG2" t="e">
        <f>AND(ZORUNLU!#REF!,"AAAAABn//vA=")</f>
        <v>#REF!</v>
      </c>
      <c r="IH2" t="e">
        <f>AND(ZORUNLU!#REF!,"AAAAABn//vE=")</f>
        <v>#REF!</v>
      </c>
      <c r="II2" t="e">
        <f>AND(ZORUNLU!#REF!,"AAAAABn//vI=")</f>
        <v>#REF!</v>
      </c>
      <c r="IJ2" t="e">
        <f>AND(ZORUNLU!#REF!,"AAAAABn//vM=")</f>
        <v>#REF!</v>
      </c>
      <c r="IK2" t="e">
        <f>AND(ZORUNLU!#REF!,"AAAAABn//vQ=")</f>
        <v>#REF!</v>
      </c>
      <c r="IL2" t="e">
        <f>AND(ZORUNLU!#REF!,"AAAAABn//vU=")</f>
        <v>#REF!</v>
      </c>
      <c r="IM2" t="e">
        <f>AND(ZORUNLU!#REF!,"AAAAABn//vY=")</f>
        <v>#REF!</v>
      </c>
      <c r="IN2" t="e">
        <f>AND(ZORUNLU!#REF!,"AAAAABn//vc=")</f>
        <v>#REF!</v>
      </c>
      <c r="IO2" t="e">
        <f>AND(ZORUNLU!#REF!,"AAAAABn//vg=")</f>
        <v>#REF!</v>
      </c>
      <c r="IP2" t="e">
        <f>AND(ZORUNLU!#REF!,"AAAAABn//vk=")</f>
        <v>#REF!</v>
      </c>
      <c r="IQ2" t="e">
        <f>IF(ZORUNLU!#REF!,"AAAAABn//vo=",0)</f>
        <v>#REF!</v>
      </c>
      <c r="IR2" t="e">
        <f>AND(ZORUNLU!#REF!,"AAAAABn//vs=")</f>
        <v>#REF!</v>
      </c>
      <c r="IS2" t="e">
        <f>AND(ZORUNLU!#REF!,"AAAAABn//vw=")</f>
        <v>#REF!</v>
      </c>
      <c r="IT2" t="e">
        <f>AND(ZORUNLU!#REF!,"AAAAABn//v0=")</f>
        <v>#REF!</v>
      </c>
      <c r="IU2" t="e">
        <f>AND(ZORUNLU!#REF!,"AAAAABn//v4=")</f>
        <v>#REF!</v>
      </c>
      <c r="IV2" t="e">
        <f>AND(ZORUNLU!#REF!,"AAAAABn//v8=")</f>
        <v>#REF!</v>
      </c>
    </row>
    <row r="3" spans="1:256" x14ac:dyDescent="0.25">
      <c r="A3" t="e">
        <f>AND(ZORUNLU!#REF!,"AAAAAHv39wA=")</f>
        <v>#REF!</v>
      </c>
      <c r="B3" t="e">
        <f>AND(ZORUNLU!#REF!,"AAAAAHv39wE=")</f>
        <v>#REF!</v>
      </c>
      <c r="C3" t="e">
        <f>AND(ZORUNLU!#REF!,"AAAAAHv39wI=")</f>
        <v>#REF!</v>
      </c>
      <c r="D3" t="e">
        <f>AND(ZORUNLU!#REF!,"AAAAAHv39wM=")</f>
        <v>#REF!</v>
      </c>
      <c r="E3" t="e">
        <f>AND(ZORUNLU!#REF!,"AAAAAHv39wQ=")</f>
        <v>#REF!</v>
      </c>
      <c r="F3" t="e">
        <f>AND(ZORUNLU!#REF!,"AAAAAHv39wU=")</f>
        <v>#REF!</v>
      </c>
      <c r="G3" t="e">
        <f>AND(ZORUNLU!#REF!,"AAAAAHv39wY=")</f>
        <v>#REF!</v>
      </c>
      <c r="H3" t="e">
        <f>AND(ZORUNLU!#REF!,"AAAAAHv39wc=")</f>
        <v>#REF!</v>
      </c>
      <c r="I3" t="e">
        <f>AND(ZORUNLU!#REF!,"AAAAAHv39wg=")</f>
        <v>#REF!</v>
      </c>
      <c r="J3" t="e">
        <f>AND(ZORUNLU!#REF!,"AAAAAHv39wk=")</f>
        <v>#REF!</v>
      </c>
      <c r="K3" t="e">
        <f>AND(ZORUNLU!#REF!,"AAAAAHv39wo=")</f>
        <v>#REF!</v>
      </c>
      <c r="L3" t="e">
        <f>AND(ZORUNLU!#REF!,"AAAAAHv39ws=")</f>
        <v>#REF!</v>
      </c>
      <c r="M3" t="e">
        <f>AND(ZORUNLU!#REF!,"AAAAAHv39ww=")</f>
        <v>#REF!</v>
      </c>
      <c r="N3" t="e">
        <f>AND(ZORUNLU!#REF!,"AAAAAHv39w0=")</f>
        <v>#REF!</v>
      </c>
      <c r="O3" t="e">
        <f>AND(ZORUNLU!#REF!,"AAAAAHv39w4=")</f>
        <v>#REF!</v>
      </c>
      <c r="P3" t="e">
        <f>AND(ZORUNLU!#REF!,"AAAAAHv39w8=")</f>
        <v>#REF!</v>
      </c>
      <c r="Q3" t="e">
        <f>IF(ZORUNLU!#REF!,"AAAAAHv39xA=",0)</f>
        <v>#REF!</v>
      </c>
      <c r="R3" t="e">
        <f>AND(ZORUNLU!B31,"AAAAAHv39xE=")</f>
        <v>#VALUE!</v>
      </c>
      <c r="S3" t="e">
        <f>AND(ZORUNLU!C31,"AAAAAHv39xI=")</f>
        <v>#VALUE!</v>
      </c>
      <c r="T3" t="e">
        <f>AND(ZORUNLU!D31,"AAAAAHv39xM=")</f>
        <v>#VALUE!</v>
      </c>
      <c r="U3" t="e">
        <f>AND(ZORUNLU!E31,"AAAAAHv39xQ=")</f>
        <v>#VALUE!</v>
      </c>
      <c r="V3" t="e">
        <f>AND(ZORUNLU!F31,"AAAAAHv39xU=")</f>
        <v>#VALUE!</v>
      </c>
      <c r="W3" t="e">
        <f>AND(ZORUNLU!G31,"AAAAAHv39xY=")</f>
        <v>#VALUE!</v>
      </c>
      <c r="X3" t="e">
        <f>AND(ZORUNLU!#REF!,"AAAAAHv39xc=")</f>
        <v>#REF!</v>
      </c>
      <c r="Y3" t="e">
        <f>AND(ZORUNLU!I31,"AAAAAHv39xg=")</f>
        <v>#VALUE!</v>
      </c>
      <c r="Z3" t="e">
        <f>AND(ZORUNLU!J31,"AAAAAHv39xk=")</f>
        <v>#VALUE!</v>
      </c>
      <c r="AA3" t="e">
        <f>AND(ZORUNLU!K31,"AAAAAHv39xo=")</f>
        <v>#VALUE!</v>
      </c>
      <c r="AB3" t="e">
        <f>AND(ZORUNLU!L31,"AAAAAHv39xs=")</f>
        <v>#VALUE!</v>
      </c>
      <c r="AC3" t="e">
        <f>AND(ZORUNLU!M31,"AAAAAHv39xw=")</f>
        <v>#VALUE!</v>
      </c>
      <c r="AD3" t="e">
        <f>AND(ZORUNLU!N31,"AAAAAHv39x0=")</f>
        <v>#VALUE!</v>
      </c>
      <c r="AE3" t="e">
        <f>AND(ZORUNLU!#REF!,"AAAAAHv39x4=")</f>
        <v>#REF!</v>
      </c>
      <c r="AF3" t="e">
        <f>AND(ZORUNLU!#REF!,"AAAAAHv39x8=")</f>
        <v>#REF!</v>
      </c>
      <c r="AG3" t="e">
        <f>AND(ZORUNLU!#REF!,"AAAAAHv39yA=")</f>
        <v>#REF!</v>
      </c>
      <c r="AH3" t="e">
        <f>AND(ZORUNLU!#REF!,"AAAAAHv39yE=")</f>
        <v>#REF!</v>
      </c>
      <c r="AI3" t="e">
        <f>AND(ZORUNLU!#REF!,"AAAAAHv39yI=")</f>
        <v>#REF!</v>
      </c>
      <c r="AJ3" t="e">
        <f>AND(ZORUNLU!#REF!,"AAAAAHv39yM=")</f>
        <v>#REF!</v>
      </c>
      <c r="AK3" t="e">
        <f>AND(ZORUNLU!#REF!,"AAAAAHv39yQ=")</f>
        <v>#REF!</v>
      </c>
      <c r="AL3" t="e">
        <f>AND(ZORUNLU!#REF!,"AAAAAHv39yU=")</f>
        <v>#REF!</v>
      </c>
      <c r="AM3" t="e">
        <f>IF(ZORUNLU!#REF!,"AAAAAHv39yY=",0)</f>
        <v>#REF!</v>
      </c>
      <c r="AN3" t="e">
        <f>AND(ZORUNLU!#REF!,"AAAAAHv39yc=")</f>
        <v>#REF!</v>
      </c>
      <c r="AO3" t="e">
        <f>AND(ZORUNLU!#REF!,"AAAAAHv39yg=")</f>
        <v>#REF!</v>
      </c>
      <c r="AP3" t="e">
        <f>AND(ZORUNLU!#REF!,"AAAAAHv39yk=")</f>
        <v>#REF!</v>
      </c>
      <c r="AQ3" t="e">
        <f>AND(ZORUNLU!#REF!,"AAAAAHv39yo=")</f>
        <v>#REF!</v>
      </c>
      <c r="AR3" t="e">
        <f>AND(ZORUNLU!#REF!,"AAAAAHv39ys=")</f>
        <v>#REF!</v>
      </c>
      <c r="AS3" t="e">
        <f>AND(ZORUNLU!#REF!,"AAAAAHv39yw=")</f>
        <v>#REF!</v>
      </c>
      <c r="AT3" t="e">
        <f>AND(ZORUNLU!#REF!,"AAAAAHv39y0=")</f>
        <v>#REF!</v>
      </c>
      <c r="AU3" t="e">
        <f>AND(ZORUNLU!#REF!,"AAAAAHv39y4=")</f>
        <v>#REF!</v>
      </c>
      <c r="AV3" t="e">
        <f>AND(ZORUNLU!#REF!,"AAAAAHv39y8=")</f>
        <v>#REF!</v>
      </c>
      <c r="AW3" t="e">
        <f>AND(ZORUNLU!#REF!,"AAAAAHv39zA=")</f>
        <v>#REF!</v>
      </c>
      <c r="AX3" t="e">
        <f>AND(ZORUNLU!#REF!,"AAAAAHv39zE=")</f>
        <v>#REF!</v>
      </c>
      <c r="AY3" t="e">
        <f>AND(ZORUNLU!#REF!,"AAAAAHv39zI=")</f>
        <v>#REF!</v>
      </c>
      <c r="AZ3" t="e">
        <f>AND(ZORUNLU!#REF!,"AAAAAHv39zM=")</f>
        <v>#REF!</v>
      </c>
      <c r="BA3" t="e">
        <f>AND(ZORUNLU!#REF!,"AAAAAHv39zQ=")</f>
        <v>#REF!</v>
      </c>
      <c r="BB3" t="e">
        <f>AND(ZORUNLU!#REF!,"AAAAAHv39zU=")</f>
        <v>#REF!</v>
      </c>
      <c r="BC3" t="e">
        <f>AND(ZORUNLU!#REF!,"AAAAAHv39zY=")</f>
        <v>#REF!</v>
      </c>
      <c r="BD3" t="e">
        <f>AND(ZORUNLU!#REF!,"AAAAAHv39zc=")</f>
        <v>#REF!</v>
      </c>
      <c r="BE3" t="e">
        <f>AND(ZORUNLU!#REF!,"AAAAAHv39zg=")</f>
        <v>#REF!</v>
      </c>
      <c r="BF3" t="e">
        <f>AND(ZORUNLU!#REF!,"AAAAAHv39zk=")</f>
        <v>#REF!</v>
      </c>
      <c r="BG3" t="e">
        <f>AND(ZORUNLU!#REF!,"AAAAAHv39zo=")</f>
        <v>#REF!</v>
      </c>
      <c r="BH3" t="e">
        <f>AND(ZORUNLU!#REF!,"AAAAAHv39zs=")</f>
        <v>#REF!</v>
      </c>
      <c r="BI3">
        <f>IF(ZORUNLU!36:36,"AAAAAHv39zw=",0)</f>
        <v>0</v>
      </c>
      <c r="BJ3" t="e">
        <f>AND(ZORUNLU!B34,"AAAAAHv39z0=")</f>
        <v>#VALUE!</v>
      </c>
      <c r="BK3" t="e">
        <f>AND(ZORUNLU!C34,"AAAAAHv39z4=")</f>
        <v>#VALUE!</v>
      </c>
      <c r="BL3" t="e">
        <f>AND(ZORUNLU!D34,"AAAAAHv39z8=")</f>
        <v>#VALUE!</v>
      </c>
      <c r="BM3" t="e">
        <f>AND(ZORUNLU!E34,"AAAAAHv390A=")</f>
        <v>#VALUE!</v>
      </c>
      <c r="BN3" t="e">
        <f>AND(ZORUNLU!F34,"AAAAAHv390E=")</f>
        <v>#VALUE!</v>
      </c>
      <c r="BO3" t="e">
        <f>AND(ZORUNLU!G34,"AAAAAHv390I=")</f>
        <v>#VALUE!</v>
      </c>
      <c r="BP3" t="e">
        <f>AND(ZORUNLU!H36,"AAAAAHv390M=")</f>
        <v>#VALUE!</v>
      </c>
      <c r="BQ3" t="e">
        <f>AND(ZORUNLU!I34,"AAAAAHv390Q=")</f>
        <v>#VALUE!</v>
      </c>
      <c r="BR3" t="e">
        <f>AND(ZORUNLU!J34,"AAAAAHv390U=")</f>
        <v>#VALUE!</v>
      </c>
      <c r="BS3" t="e">
        <f>AND(ZORUNLU!K34,"AAAAAHv390Y=")</f>
        <v>#VALUE!</v>
      </c>
      <c r="BT3" t="e">
        <f>AND(ZORUNLU!L34,"AAAAAHv390c=")</f>
        <v>#VALUE!</v>
      </c>
      <c r="BU3" t="e">
        <f>AND(ZORUNLU!M34,"AAAAAHv390g=")</f>
        <v>#VALUE!</v>
      </c>
      <c r="BV3" t="e">
        <f>AND(ZORUNLU!N34,"AAAAAHv390k=")</f>
        <v>#VALUE!</v>
      </c>
      <c r="BW3" t="e">
        <f>AND(ZORUNLU!O36,"AAAAAHv390o=")</f>
        <v>#VALUE!</v>
      </c>
      <c r="BX3" t="e">
        <f>AND(ZORUNLU!P36,"AAAAAHv390s=")</f>
        <v>#VALUE!</v>
      </c>
      <c r="BY3" t="e">
        <f>AND(ZORUNLU!#REF!,"AAAAAHv390w=")</f>
        <v>#REF!</v>
      </c>
      <c r="BZ3" t="e">
        <f>AND(ZORUNLU!#REF!,"AAAAAHv3900=")</f>
        <v>#REF!</v>
      </c>
      <c r="CA3" t="e">
        <f>AND(ZORUNLU!#REF!,"AAAAAHv3904=")</f>
        <v>#REF!</v>
      </c>
      <c r="CB3" t="e">
        <f>AND(ZORUNLU!#REF!,"AAAAAHv3908=")</f>
        <v>#REF!</v>
      </c>
      <c r="CC3" t="e">
        <f>AND(ZORUNLU!#REF!,"AAAAAHv391A=")</f>
        <v>#REF!</v>
      </c>
      <c r="CD3" t="e">
        <f>AND(ZORUNLU!#REF!,"AAAAAHv391E=")</f>
        <v>#REF!</v>
      </c>
      <c r="CE3" t="e">
        <f>IF(ZORUNLU!#REF!,"AAAAAHv391I=",0)</f>
        <v>#REF!</v>
      </c>
      <c r="CF3" t="e">
        <f>AND(ZORUNLU!#REF!,"AAAAAHv391M=")</f>
        <v>#REF!</v>
      </c>
      <c r="CG3" t="e">
        <f>AND(ZORUNLU!#REF!,"AAAAAHv391Q=")</f>
        <v>#REF!</v>
      </c>
      <c r="CH3" t="e">
        <f>AND(ZORUNLU!#REF!,"AAAAAHv391U=")</f>
        <v>#REF!</v>
      </c>
      <c r="CI3" t="e">
        <f>AND(ZORUNLU!#REF!,"AAAAAHv391Y=")</f>
        <v>#REF!</v>
      </c>
      <c r="CJ3" t="e">
        <f>AND(ZORUNLU!#REF!,"AAAAAHv391c=")</f>
        <v>#REF!</v>
      </c>
      <c r="CK3" t="e">
        <f>AND(ZORUNLU!#REF!,"AAAAAHv391g=")</f>
        <v>#REF!</v>
      </c>
      <c r="CL3" t="e">
        <f>AND(ZORUNLU!#REF!,"AAAAAHv391k=")</f>
        <v>#REF!</v>
      </c>
      <c r="CM3" t="e">
        <f>AND(ZORUNLU!#REF!,"AAAAAHv391o=")</f>
        <v>#REF!</v>
      </c>
      <c r="CN3" t="e">
        <f>AND(ZORUNLU!J36,"AAAAAHv391s=")</f>
        <v>#VALUE!</v>
      </c>
      <c r="CO3" t="e">
        <f>AND(ZORUNLU!#REF!,"AAAAAHv391w=")</f>
        <v>#REF!</v>
      </c>
      <c r="CP3" t="e">
        <f>AND(ZORUNLU!#REF!,"AAAAAHv3910=")</f>
        <v>#REF!</v>
      </c>
      <c r="CQ3" t="e">
        <f>AND(ZORUNLU!#REF!,"AAAAAHv3914=")</f>
        <v>#REF!</v>
      </c>
      <c r="CR3" t="e">
        <f>AND(ZORUNLU!#REF!,"AAAAAHv3918=")</f>
        <v>#REF!</v>
      </c>
      <c r="CS3" t="e">
        <f>AND(ZORUNLU!#REF!,"AAAAAHv392A=")</f>
        <v>#REF!</v>
      </c>
      <c r="CT3" t="e">
        <f>AND(ZORUNLU!#REF!,"AAAAAHv392E=")</f>
        <v>#REF!</v>
      </c>
      <c r="CU3" t="e">
        <f>AND(ZORUNLU!#REF!,"AAAAAHv392I=")</f>
        <v>#REF!</v>
      </c>
      <c r="CV3" t="e">
        <f>AND(ZORUNLU!#REF!,"AAAAAHv392M=")</f>
        <v>#REF!</v>
      </c>
      <c r="CW3" t="e">
        <f>AND(ZORUNLU!#REF!,"AAAAAHv392Q=")</f>
        <v>#REF!</v>
      </c>
      <c r="CX3" t="e">
        <f>AND(ZORUNLU!#REF!,"AAAAAHv392U=")</f>
        <v>#REF!</v>
      </c>
      <c r="CY3" t="e">
        <f>AND(ZORUNLU!#REF!,"AAAAAHv392Y=")</f>
        <v>#REF!</v>
      </c>
      <c r="CZ3" t="e">
        <f>AND(ZORUNLU!#REF!,"AAAAAHv392c=")</f>
        <v>#REF!</v>
      </c>
      <c r="DA3">
        <f>IF(ZORUNLU!37:37,"AAAAAHv392g=",0)</f>
        <v>0</v>
      </c>
      <c r="DB3" t="e">
        <f>AND(ZORUNLU!B37,"AAAAAHv392k=")</f>
        <v>#VALUE!</v>
      </c>
      <c r="DC3" t="e">
        <f>AND(ZORUNLU!C37,"AAAAAHv392o=")</f>
        <v>#VALUE!</v>
      </c>
      <c r="DD3" t="e">
        <f>AND(ZORUNLU!D37,"AAAAAHv392s=")</f>
        <v>#VALUE!</v>
      </c>
      <c r="DE3" t="e">
        <f>AND(ZORUNLU!E37,"AAAAAHv392w=")</f>
        <v>#VALUE!</v>
      </c>
      <c r="DF3" t="e">
        <f>AND(ZORUNLU!F37,"AAAAAHv3920=")</f>
        <v>#VALUE!</v>
      </c>
      <c r="DG3" t="e">
        <f>AND(ZORUNLU!G37,"AAAAAHv3924=")</f>
        <v>#VALUE!</v>
      </c>
      <c r="DH3" t="e">
        <f>AND(ZORUNLU!H37,"AAAAAHv3928=")</f>
        <v>#VALUE!</v>
      </c>
      <c r="DI3" t="e">
        <f>AND(ZORUNLU!I37,"AAAAAHv393A=")</f>
        <v>#VALUE!</v>
      </c>
      <c r="DJ3" t="e">
        <f>AND(ZORUNLU!J37,"AAAAAHv393E=")</f>
        <v>#VALUE!</v>
      </c>
      <c r="DK3" t="e">
        <f>AND(ZORUNLU!K37,"AAAAAHv393I=")</f>
        <v>#VALUE!</v>
      </c>
      <c r="DL3" t="e">
        <f>AND(ZORUNLU!L37,"AAAAAHv393M=")</f>
        <v>#VALUE!</v>
      </c>
      <c r="DM3" t="e">
        <f>AND(ZORUNLU!M37,"AAAAAHv393Q=")</f>
        <v>#VALUE!</v>
      </c>
      <c r="DN3" t="e">
        <f>AND(ZORUNLU!N37,"AAAAAHv393U=")</f>
        <v>#VALUE!</v>
      </c>
      <c r="DO3" t="e">
        <f>AND(ZORUNLU!O37,"AAAAAHv393Y=")</f>
        <v>#VALUE!</v>
      </c>
      <c r="DP3" t="e">
        <f>AND(ZORUNLU!P37,"AAAAAHv393c=")</f>
        <v>#VALUE!</v>
      </c>
      <c r="DQ3" t="e">
        <f>AND(ZORUNLU!#REF!,"AAAAAHv393g=")</f>
        <v>#REF!</v>
      </c>
      <c r="DR3" t="e">
        <f>AND(ZORUNLU!#REF!,"AAAAAHv393k=")</f>
        <v>#REF!</v>
      </c>
      <c r="DS3" t="e">
        <f>AND(ZORUNLU!#REF!,"AAAAAHv393o=")</f>
        <v>#REF!</v>
      </c>
      <c r="DT3" t="e">
        <f>AND(ZORUNLU!#REF!,"AAAAAHv393s=")</f>
        <v>#REF!</v>
      </c>
      <c r="DU3" t="e">
        <f>AND(ZORUNLU!#REF!,"AAAAAHv393w=")</f>
        <v>#REF!</v>
      </c>
      <c r="DV3" t="e">
        <f>AND(ZORUNLU!#REF!,"AAAAAHv3930=")</f>
        <v>#REF!</v>
      </c>
      <c r="DW3" t="e">
        <f>IF(ZORUNLU!#REF!,"AAAAAHv3934=",0)</f>
        <v>#REF!</v>
      </c>
      <c r="DX3" t="e">
        <f>AND(ZORUNLU!#REF!,"AAAAAHv3938=")</f>
        <v>#REF!</v>
      </c>
      <c r="DY3" t="e">
        <f>AND(ZORUNLU!#REF!,"AAAAAHv394A=")</f>
        <v>#REF!</v>
      </c>
      <c r="DZ3" t="e">
        <f>AND(ZORUNLU!#REF!,"AAAAAHv394E=")</f>
        <v>#REF!</v>
      </c>
      <c r="EA3" t="e">
        <f>AND(ZORUNLU!#REF!,"AAAAAHv394I=")</f>
        <v>#REF!</v>
      </c>
      <c r="EB3" t="e">
        <f>AND(ZORUNLU!#REF!,"AAAAAHv394M=")</f>
        <v>#REF!</v>
      </c>
      <c r="EC3" t="e">
        <f>AND(ZORUNLU!#REF!,"AAAAAHv394Q=")</f>
        <v>#REF!</v>
      </c>
      <c r="ED3" t="e">
        <f>AND(ZORUNLU!#REF!,"AAAAAHv394U=")</f>
        <v>#REF!</v>
      </c>
      <c r="EE3" t="e">
        <f>AND(ZORUNLU!#REF!,"AAAAAHv394Y=")</f>
        <v>#REF!</v>
      </c>
      <c r="EF3" t="e">
        <f>AND(ZORUNLU!#REF!,"AAAAAHv394c=")</f>
        <v>#REF!</v>
      </c>
      <c r="EG3" t="e">
        <f>AND(ZORUNLU!#REF!,"AAAAAHv394g=")</f>
        <v>#REF!</v>
      </c>
      <c r="EH3" t="e">
        <f>AND(ZORUNLU!#REF!,"AAAAAHv394k=")</f>
        <v>#REF!</v>
      </c>
      <c r="EI3" t="e">
        <f>AND(ZORUNLU!#REF!,"AAAAAHv394o=")</f>
        <v>#REF!</v>
      </c>
      <c r="EJ3" t="e">
        <f>AND(ZORUNLU!#REF!,"AAAAAHv394s=")</f>
        <v>#REF!</v>
      </c>
      <c r="EK3" t="e">
        <f>AND(ZORUNLU!#REF!,"AAAAAHv394w=")</f>
        <v>#REF!</v>
      </c>
      <c r="EL3" t="e">
        <f>AND(ZORUNLU!#REF!,"AAAAAHv3940=")</f>
        <v>#REF!</v>
      </c>
      <c r="EM3" t="e">
        <f>AND(ZORUNLU!#REF!,"AAAAAHv3944=")</f>
        <v>#REF!</v>
      </c>
      <c r="EN3" t="e">
        <f>AND(ZORUNLU!#REF!,"AAAAAHv3948=")</f>
        <v>#REF!</v>
      </c>
      <c r="EO3" t="e">
        <f>AND(ZORUNLU!#REF!,"AAAAAHv395A=")</f>
        <v>#REF!</v>
      </c>
      <c r="EP3" t="e">
        <f>AND(ZORUNLU!#REF!,"AAAAAHv395E=")</f>
        <v>#REF!</v>
      </c>
      <c r="EQ3" t="e">
        <f>AND(ZORUNLU!#REF!,"AAAAAHv395I=")</f>
        <v>#REF!</v>
      </c>
      <c r="ER3" t="e">
        <f>AND(ZORUNLU!#REF!,"AAAAAHv395M=")</f>
        <v>#REF!</v>
      </c>
      <c r="ES3">
        <f>IF(ZORUNLU!38:38,"AAAAAHv395Q=",0)</f>
        <v>0</v>
      </c>
      <c r="ET3" t="e">
        <f>AND(ZORUNLU!B38,"AAAAAHv395U=")</f>
        <v>#VALUE!</v>
      </c>
      <c r="EU3" t="e">
        <f>AND(ZORUNLU!C38,"AAAAAHv395Y=")</f>
        <v>#VALUE!</v>
      </c>
      <c r="EV3" t="e">
        <f>AND(ZORUNLU!D38,"AAAAAHv395c=")</f>
        <v>#VALUE!</v>
      </c>
      <c r="EW3" t="e">
        <f>AND(ZORUNLU!E38,"AAAAAHv395g=")</f>
        <v>#VALUE!</v>
      </c>
      <c r="EX3" t="e">
        <f>AND(ZORUNLU!F38,"AAAAAHv395k=")</f>
        <v>#VALUE!</v>
      </c>
      <c r="EY3" t="e">
        <f>AND(ZORUNLU!G38,"AAAAAHv395o=")</f>
        <v>#VALUE!</v>
      </c>
      <c r="EZ3" t="e">
        <f>AND(ZORUNLU!H38,"AAAAAHv395s=")</f>
        <v>#VALUE!</v>
      </c>
      <c r="FA3" t="e">
        <f>AND(ZORUNLU!I38,"AAAAAHv395w=")</f>
        <v>#VALUE!</v>
      </c>
      <c r="FB3" t="e">
        <f>AND(ZORUNLU!J38,"AAAAAHv3950=")</f>
        <v>#VALUE!</v>
      </c>
      <c r="FC3" t="e">
        <f>AND(ZORUNLU!K38,"AAAAAHv3954=")</f>
        <v>#VALUE!</v>
      </c>
      <c r="FD3" t="e">
        <f>AND(ZORUNLU!L38,"AAAAAHv3958=")</f>
        <v>#VALUE!</v>
      </c>
      <c r="FE3" t="e">
        <f>AND(ZORUNLU!M38,"AAAAAHv396A=")</f>
        <v>#VALUE!</v>
      </c>
      <c r="FF3" t="e">
        <f>AND(ZORUNLU!N38,"AAAAAHv396E=")</f>
        <v>#VALUE!</v>
      </c>
      <c r="FG3" t="e">
        <f>AND(ZORUNLU!O38,"AAAAAHv396I=")</f>
        <v>#VALUE!</v>
      </c>
      <c r="FH3" t="e">
        <f>AND(ZORUNLU!P38,"AAAAAHv396M=")</f>
        <v>#VALUE!</v>
      </c>
      <c r="FI3" t="e">
        <f>AND(ZORUNLU!#REF!,"AAAAAHv396Q=")</f>
        <v>#REF!</v>
      </c>
      <c r="FJ3" t="e">
        <f>AND(ZORUNLU!#REF!,"AAAAAHv396U=")</f>
        <v>#REF!</v>
      </c>
      <c r="FK3" t="e">
        <f>AND(ZORUNLU!#REF!,"AAAAAHv396Y=")</f>
        <v>#REF!</v>
      </c>
      <c r="FL3" t="e">
        <f>AND(ZORUNLU!#REF!,"AAAAAHv396c=")</f>
        <v>#REF!</v>
      </c>
      <c r="FM3" t="e">
        <f>AND(ZORUNLU!#REF!,"AAAAAHv396g=")</f>
        <v>#REF!</v>
      </c>
      <c r="FN3" t="e">
        <f>AND(ZORUNLU!#REF!,"AAAAAHv396k=")</f>
        <v>#REF!</v>
      </c>
      <c r="FO3">
        <f>IF(ZORUNLU!39:39,"AAAAAHv396o=",0)</f>
        <v>0</v>
      </c>
      <c r="FP3" t="e">
        <f>AND(ZORUNLU!B39,"AAAAAHv396s=")</f>
        <v>#VALUE!</v>
      </c>
      <c r="FQ3" t="e">
        <f>AND(ZORUNLU!C39,"AAAAAHv396w=")</f>
        <v>#VALUE!</v>
      </c>
      <c r="FR3" t="e">
        <f>AND(ZORUNLU!D39,"AAAAAHv3960=")</f>
        <v>#VALUE!</v>
      </c>
      <c r="FS3" t="e">
        <f>AND(ZORUNLU!E39,"AAAAAHv3964=")</f>
        <v>#VALUE!</v>
      </c>
      <c r="FT3" t="e">
        <f>AND(ZORUNLU!F39,"AAAAAHv3968=")</f>
        <v>#VALUE!</v>
      </c>
      <c r="FU3" t="e">
        <f>AND(ZORUNLU!G39,"AAAAAHv397A=")</f>
        <v>#VALUE!</v>
      </c>
      <c r="FV3" t="e">
        <f>AND(ZORUNLU!H39,"AAAAAHv397E=")</f>
        <v>#VALUE!</v>
      </c>
      <c r="FW3" t="e">
        <f>AND(ZORUNLU!I39,"AAAAAHv397I=")</f>
        <v>#VALUE!</v>
      </c>
      <c r="FX3" t="e">
        <f>AND(ZORUNLU!J39,"AAAAAHv397M=")</f>
        <v>#VALUE!</v>
      </c>
      <c r="FY3" t="e">
        <f>AND(ZORUNLU!K39,"AAAAAHv397Q=")</f>
        <v>#VALUE!</v>
      </c>
      <c r="FZ3" t="e">
        <f>AND(ZORUNLU!L39,"AAAAAHv397U=")</f>
        <v>#VALUE!</v>
      </c>
      <c r="GA3" t="e">
        <f>AND(ZORUNLU!M39,"AAAAAHv397Y=")</f>
        <v>#VALUE!</v>
      </c>
      <c r="GB3" t="e">
        <f>AND(ZORUNLU!N39,"AAAAAHv397c=")</f>
        <v>#VALUE!</v>
      </c>
      <c r="GC3" t="e">
        <f>AND(ZORUNLU!O39,"AAAAAHv397g=")</f>
        <v>#VALUE!</v>
      </c>
      <c r="GD3" t="e">
        <f>AND(ZORUNLU!P39,"AAAAAHv397k=")</f>
        <v>#VALUE!</v>
      </c>
      <c r="GE3" t="e">
        <f>AND(ZORUNLU!#REF!,"AAAAAHv397o=")</f>
        <v>#REF!</v>
      </c>
      <c r="GF3" t="e">
        <f>AND(ZORUNLU!#REF!,"AAAAAHv397s=")</f>
        <v>#REF!</v>
      </c>
      <c r="GG3" t="e">
        <f>AND(ZORUNLU!#REF!,"AAAAAHv397w=")</f>
        <v>#REF!</v>
      </c>
      <c r="GH3" t="e">
        <f>AND(ZORUNLU!#REF!,"AAAAAHv3970=")</f>
        <v>#REF!</v>
      </c>
      <c r="GI3" t="e">
        <f>AND(ZORUNLU!#REF!,"AAAAAHv3974=")</f>
        <v>#REF!</v>
      </c>
      <c r="GJ3" t="e">
        <f>AND(ZORUNLU!#REF!,"AAAAAHv3978=")</f>
        <v>#REF!</v>
      </c>
      <c r="GK3">
        <f>IF(ZORUNLU!41:41,"AAAAAHv398A=",0)</f>
        <v>0</v>
      </c>
      <c r="GL3" t="e">
        <f>AND(ZORUNLU!B45,"AAAAAHv398E=")</f>
        <v>#VALUE!</v>
      </c>
      <c r="GM3" t="e">
        <f>AND(ZORUNLU!C45,"AAAAAHv398I=")</f>
        <v>#VALUE!</v>
      </c>
      <c r="GN3" t="e">
        <f>AND(ZORUNLU!D45,"AAAAAHv398M=")</f>
        <v>#VALUE!</v>
      </c>
      <c r="GO3" t="e">
        <f>AND(ZORUNLU!E45,"AAAAAHv398Q=")</f>
        <v>#VALUE!</v>
      </c>
      <c r="GP3" t="e">
        <f>AND(ZORUNLU!F45,"AAAAAHv398U=")</f>
        <v>#VALUE!</v>
      </c>
      <c r="GQ3" t="e">
        <f>AND(ZORUNLU!G45,"AAAAAHv398Y=")</f>
        <v>#VALUE!</v>
      </c>
      <c r="GR3" t="e">
        <f>AND(ZORUNLU!H41,"AAAAAHv398c=")</f>
        <v>#VALUE!</v>
      </c>
      <c r="GS3" t="e">
        <f>AND(ZORUNLU!I45,"AAAAAHv398g=")</f>
        <v>#VALUE!</v>
      </c>
      <c r="GT3" t="e">
        <f>AND(ZORUNLU!J45,"AAAAAHv398k=")</f>
        <v>#VALUE!</v>
      </c>
      <c r="GU3" t="e">
        <f>AND(ZORUNLU!K45,"AAAAAHv398o=")</f>
        <v>#VALUE!</v>
      </c>
      <c r="GV3" t="e">
        <f>AND(ZORUNLU!L45,"AAAAAHv398s=")</f>
        <v>#VALUE!</v>
      </c>
      <c r="GW3" t="e">
        <f>AND(ZORUNLU!M45,"AAAAAHv398w=")</f>
        <v>#VALUE!</v>
      </c>
      <c r="GX3" t="e">
        <f>AND(ZORUNLU!N45,"AAAAAHv3980=")</f>
        <v>#VALUE!</v>
      </c>
      <c r="GY3" t="e">
        <f>AND(ZORUNLU!O41,"AAAAAHv3984=")</f>
        <v>#VALUE!</v>
      </c>
      <c r="GZ3" t="e">
        <f>AND(ZORUNLU!P41,"AAAAAHv3988=")</f>
        <v>#VALUE!</v>
      </c>
      <c r="HA3" t="e">
        <f>AND(ZORUNLU!#REF!,"AAAAAHv399A=")</f>
        <v>#REF!</v>
      </c>
      <c r="HB3" t="e">
        <f>AND(ZORUNLU!#REF!,"AAAAAHv399E=")</f>
        <v>#REF!</v>
      </c>
      <c r="HC3" t="e">
        <f>AND(ZORUNLU!#REF!,"AAAAAHv399I=")</f>
        <v>#REF!</v>
      </c>
      <c r="HD3" t="e">
        <f>AND(ZORUNLU!#REF!,"AAAAAHv399M=")</f>
        <v>#REF!</v>
      </c>
      <c r="HE3" t="e">
        <f>AND(ZORUNLU!#REF!,"AAAAAHv399Q=")</f>
        <v>#REF!</v>
      </c>
      <c r="HF3" t="e">
        <f>AND(ZORUNLU!#REF!,"AAAAAHv399U=")</f>
        <v>#REF!</v>
      </c>
      <c r="HG3">
        <f>IF(ZORUNLU!45:45,"AAAAAHv399Y=",0)</f>
        <v>0</v>
      </c>
      <c r="HH3" t="e">
        <f>AND(ZORUNLU!B41,"AAAAAHv399c=")</f>
        <v>#VALUE!</v>
      </c>
      <c r="HI3" t="e">
        <f>AND(ZORUNLU!C41,"AAAAAHv399g=")</f>
        <v>#VALUE!</v>
      </c>
      <c r="HJ3" t="e">
        <f>AND(ZORUNLU!D41,"AAAAAHv399k=")</f>
        <v>#VALUE!</v>
      </c>
      <c r="HK3" t="e">
        <f>AND(ZORUNLU!E41,"AAAAAHv399o=")</f>
        <v>#VALUE!</v>
      </c>
      <c r="HL3" t="e">
        <f>AND(ZORUNLU!F41,"AAAAAHv399s=")</f>
        <v>#VALUE!</v>
      </c>
      <c r="HM3" t="e">
        <f>AND(ZORUNLU!G41,"AAAAAHv399w=")</f>
        <v>#VALUE!</v>
      </c>
      <c r="HN3" t="e">
        <f>AND(ZORUNLU!H45,"AAAAAHv3990=")</f>
        <v>#VALUE!</v>
      </c>
      <c r="HO3" t="e">
        <f>AND(ZORUNLU!I43,"AAAAAHv3994=")</f>
        <v>#VALUE!</v>
      </c>
      <c r="HP3" t="e">
        <f>AND(ZORUNLU!J43,"AAAAAHv3998=")</f>
        <v>#VALUE!</v>
      </c>
      <c r="HQ3" t="e">
        <f>AND(ZORUNLU!K43,"AAAAAHv39+A=")</f>
        <v>#VALUE!</v>
      </c>
      <c r="HR3" t="e">
        <f>AND(ZORUNLU!L43,"AAAAAHv39+E=")</f>
        <v>#VALUE!</v>
      </c>
      <c r="HS3" t="e">
        <f>AND(ZORUNLU!M43,"AAAAAHv39+I=")</f>
        <v>#VALUE!</v>
      </c>
      <c r="HT3" t="e">
        <f>AND(ZORUNLU!N43,"AAAAAHv39+M=")</f>
        <v>#VALUE!</v>
      </c>
      <c r="HU3" t="e">
        <f>AND(ZORUNLU!O45,"AAAAAHv39+Q=")</f>
        <v>#VALUE!</v>
      </c>
      <c r="HV3" t="e">
        <f>AND(ZORUNLU!P45,"AAAAAHv39+U=")</f>
        <v>#VALUE!</v>
      </c>
      <c r="HW3" t="e">
        <f>AND(ZORUNLU!#REF!,"AAAAAHv39+Y=")</f>
        <v>#REF!</v>
      </c>
      <c r="HX3" t="e">
        <f>AND(ZORUNLU!#REF!,"AAAAAHv39+c=")</f>
        <v>#REF!</v>
      </c>
      <c r="HY3" t="e">
        <f>AND(ZORUNLU!#REF!,"AAAAAHv39+g=")</f>
        <v>#REF!</v>
      </c>
      <c r="HZ3" t="e">
        <f>AND(ZORUNLU!#REF!,"AAAAAHv39+k=")</f>
        <v>#REF!</v>
      </c>
      <c r="IA3" t="e">
        <f>AND(ZORUNLU!#REF!,"AAAAAHv39+o=")</f>
        <v>#REF!</v>
      </c>
      <c r="IB3" t="e">
        <f>AND(ZORUNLU!#REF!,"AAAAAHv39+s=")</f>
        <v>#REF!</v>
      </c>
      <c r="IC3" t="e">
        <f>IF(ZORUNLU!#REF!,"AAAAAHv39+w=",0)</f>
        <v>#REF!</v>
      </c>
      <c r="ID3" t="e">
        <f>AND(ZORUNLU!#REF!,"AAAAAHv39+0=")</f>
        <v>#REF!</v>
      </c>
      <c r="IE3" t="e">
        <f>AND(ZORUNLU!#REF!,"AAAAAHv39+4=")</f>
        <v>#REF!</v>
      </c>
      <c r="IF3" t="e">
        <f>AND(ZORUNLU!#REF!,"AAAAAHv39+8=")</f>
        <v>#REF!</v>
      </c>
      <c r="IG3" t="e">
        <f>AND(ZORUNLU!#REF!,"AAAAAHv39/A=")</f>
        <v>#REF!</v>
      </c>
      <c r="IH3" t="e">
        <f>AND(ZORUNLU!#REF!,"AAAAAHv39/E=")</f>
        <v>#REF!</v>
      </c>
      <c r="II3" t="e">
        <f>AND(ZORUNLU!#REF!,"AAAAAHv39/I=")</f>
        <v>#REF!</v>
      </c>
      <c r="IJ3" t="e">
        <f>AND(ZORUNLU!#REF!,"AAAAAHv39/M=")</f>
        <v>#REF!</v>
      </c>
      <c r="IK3" t="e">
        <f>AND(ZORUNLU!#REF!,"AAAAAHv39/Q=")</f>
        <v>#REF!</v>
      </c>
      <c r="IL3" t="e">
        <f>AND(ZORUNLU!#REF!,"AAAAAHv39/U=")</f>
        <v>#REF!</v>
      </c>
      <c r="IM3" t="e">
        <f>AND(ZORUNLU!#REF!,"AAAAAHv39/Y=")</f>
        <v>#REF!</v>
      </c>
      <c r="IN3" t="e">
        <f>AND(ZORUNLU!#REF!,"AAAAAHv39/c=")</f>
        <v>#REF!</v>
      </c>
      <c r="IO3" t="e">
        <f>AND(ZORUNLU!#REF!,"AAAAAHv39/g=")</f>
        <v>#REF!</v>
      </c>
      <c r="IP3" t="e">
        <f>AND(ZORUNLU!#REF!,"AAAAAHv39/k=")</f>
        <v>#REF!</v>
      </c>
      <c r="IQ3" t="e">
        <f>AND(ZORUNLU!#REF!,"AAAAAHv39/o=")</f>
        <v>#REF!</v>
      </c>
      <c r="IR3" t="e">
        <f>AND(ZORUNLU!#REF!,"AAAAAHv39/s=")</f>
        <v>#REF!</v>
      </c>
      <c r="IS3" t="e">
        <f>AND(ZORUNLU!#REF!,"AAAAAHv39/w=")</f>
        <v>#REF!</v>
      </c>
      <c r="IT3" t="e">
        <f>AND(ZORUNLU!#REF!,"AAAAAHv39/0=")</f>
        <v>#REF!</v>
      </c>
      <c r="IU3" t="e">
        <f>AND(ZORUNLU!#REF!,"AAAAAHv39/4=")</f>
        <v>#REF!</v>
      </c>
      <c r="IV3" t="e">
        <f>AND(ZORUNLU!#REF!,"AAAAAHv39/8=")</f>
        <v>#REF!</v>
      </c>
    </row>
    <row r="4" spans="1:256" x14ac:dyDescent="0.25">
      <c r="A4" t="e">
        <f>AND(ZORUNLU!#REF!,"AAAAAD+GvwA=")</f>
        <v>#REF!</v>
      </c>
      <c r="B4" t="e">
        <f>AND(ZORUNLU!#REF!,"AAAAAD+GvwE=")</f>
        <v>#REF!</v>
      </c>
      <c r="C4" t="e">
        <f>IF(ZORUNLU!46:46,"AAAAAD+GvwI=",0)</f>
        <v>#VALUE!</v>
      </c>
      <c r="D4" t="e">
        <f>AND(ZORUNLU!#REF!,"AAAAAD+GvwM=")</f>
        <v>#REF!</v>
      </c>
      <c r="E4" t="e">
        <f>AND(ZORUNLU!#REF!,"AAAAAD+GvwQ=")</f>
        <v>#REF!</v>
      </c>
      <c r="F4" t="e">
        <f>AND(ZORUNLU!#REF!,"AAAAAD+GvwU=")</f>
        <v>#REF!</v>
      </c>
      <c r="G4" t="e">
        <f>AND(ZORUNLU!#REF!,"AAAAAD+GvwY=")</f>
        <v>#REF!</v>
      </c>
      <c r="H4" t="e">
        <f>AND(ZORUNLU!#REF!,"AAAAAD+Gvwc=")</f>
        <v>#REF!</v>
      </c>
      <c r="I4" t="e">
        <f>AND(ZORUNLU!#REF!,"AAAAAD+Gvwg=")</f>
        <v>#REF!</v>
      </c>
      <c r="J4" t="e">
        <f>AND(ZORUNLU!H46,"AAAAAD+Gvwk=")</f>
        <v>#VALUE!</v>
      </c>
      <c r="K4" t="e">
        <f>AND(ZORUNLU!I40,"AAAAAD+Gvwo=")</f>
        <v>#VALUE!</v>
      </c>
      <c r="L4" t="e">
        <f>AND(ZORUNLU!J40,"AAAAAD+Gvws=")</f>
        <v>#VALUE!</v>
      </c>
      <c r="M4" t="e">
        <f>AND(ZORUNLU!K40,"AAAAAD+Gvww=")</f>
        <v>#VALUE!</v>
      </c>
      <c r="N4" t="e">
        <f>AND(ZORUNLU!L40,"AAAAAD+Gvw0=")</f>
        <v>#VALUE!</v>
      </c>
      <c r="O4" t="e">
        <f>AND(ZORUNLU!M40,"AAAAAD+Gvw4=")</f>
        <v>#VALUE!</v>
      </c>
      <c r="P4" t="e">
        <f>AND(ZORUNLU!N40,"AAAAAD+Gvw8=")</f>
        <v>#VALUE!</v>
      </c>
      <c r="Q4" t="e">
        <f>AND(ZORUNLU!O46,"AAAAAD+GvxA=")</f>
        <v>#VALUE!</v>
      </c>
      <c r="R4" t="e">
        <f>AND(ZORUNLU!P46,"AAAAAD+GvxE=")</f>
        <v>#VALUE!</v>
      </c>
      <c r="S4" t="e">
        <f>AND(ZORUNLU!#REF!,"AAAAAD+GvxI=")</f>
        <v>#REF!</v>
      </c>
      <c r="T4" t="e">
        <f>AND(ZORUNLU!#REF!,"AAAAAD+GvxM=")</f>
        <v>#REF!</v>
      </c>
      <c r="U4" t="e">
        <f>AND(ZORUNLU!#REF!,"AAAAAD+GvxQ=")</f>
        <v>#REF!</v>
      </c>
      <c r="V4" t="e">
        <f>AND(ZORUNLU!#REF!,"AAAAAD+GvxU=")</f>
        <v>#REF!</v>
      </c>
      <c r="W4" t="e">
        <f>AND(ZORUNLU!#REF!,"AAAAAD+GvxY=")</f>
        <v>#REF!</v>
      </c>
      <c r="X4" t="e">
        <f>AND(ZORUNLU!#REF!,"AAAAAD+Gvxc=")</f>
        <v>#REF!</v>
      </c>
      <c r="Y4">
        <f>IF(ZORUNLU!47:47,"AAAAAD+Gvxg=",0)</f>
        <v>0</v>
      </c>
      <c r="Z4" t="e">
        <f>AND(ZORUNLU!B42,"AAAAAD+Gvxk=")</f>
        <v>#VALUE!</v>
      </c>
      <c r="AA4" t="e">
        <f>AND(ZORUNLU!C42,"AAAAAD+Gvxo=")</f>
        <v>#VALUE!</v>
      </c>
      <c r="AB4" t="e">
        <f>AND(ZORUNLU!D42,"AAAAAD+Gvxs=")</f>
        <v>#VALUE!</v>
      </c>
      <c r="AC4" t="e">
        <f>AND(ZORUNLU!E42,"AAAAAD+Gvxw=")</f>
        <v>#VALUE!</v>
      </c>
      <c r="AD4" t="e">
        <f>AND(ZORUNLU!F42,"AAAAAD+Gvx0=")</f>
        <v>#VALUE!</v>
      </c>
      <c r="AE4" t="e">
        <f>AND(ZORUNLU!G42,"AAAAAD+Gvx4=")</f>
        <v>#VALUE!</v>
      </c>
      <c r="AF4" t="e">
        <f>AND(ZORUNLU!H47,"AAAAAD+Gvx8=")</f>
        <v>#VALUE!</v>
      </c>
      <c r="AG4" t="e">
        <f>AND(ZORUNLU!#REF!,"AAAAAD+GvyA=")</f>
        <v>#REF!</v>
      </c>
      <c r="AH4" t="e">
        <f>AND(ZORUNLU!#REF!,"AAAAAD+GvyE=")</f>
        <v>#REF!</v>
      </c>
      <c r="AI4" t="e">
        <f>AND(ZORUNLU!#REF!,"AAAAAD+GvyI=")</f>
        <v>#REF!</v>
      </c>
      <c r="AJ4" t="e">
        <f>AND(ZORUNLU!#REF!,"AAAAAD+GvyM=")</f>
        <v>#REF!</v>
      </c>
      <c r="AK4" t="e">
        <f>AND(ZORUNLU!#REF!,"AAAAAD+GvyQ=")</f>
        <v>#REF!</v>
      </c>
      <c r="AL4" t="e">
        <f>AND(ZORUNLU!#REF!,"AAAAAD+GvyU=")</f>
        <v>#REF!</v>
      </c>
      <c r="AM4" t="e">
        <f>AND(ZORUNLU!O47,"AAAAAD+GvyY=")</f>
        <v>#VALUE!</v>
      </c>
      <c r="AN4" t="e">
        <f>AND(ZORUNLU!P47,"AAAAAD+Gvyc=")</f>
        <v>#VALUE!</v>
      </c>
      <c r="AO4" t="e">
        <f>AND(ZORUNLU!#REF!,"AAAAAD+Gvyg=")</f>
        <v>#REF!</v>
      </c>
      <c r="AP4" t="e">
        <f>AND(ZORUNLU!#REF!,"AAAAAD+Gvyk=")</f>
        <v>#REF!</v>
      </c>
      <c r="AQ4" t="e">
        <f>AND(ZORUNLU!#REF!,"AAAAAD+Gvyo=")</f>
        <v>#REF!</v>
      </c>
      <c r="AR4" t="e">
        <f>AND(ZORUNLU!#REF!,"AAAAAD+Gvys=")</f>
        <v>#REF!</v>
      </c>
      <c r="AS4" t="e">
        <f>AND(ZORUNLU!#REF!,"AAAAAD+Gvyw=")</f>
        <v>#REF!</v>
      </c>
      <c r="AT4" t="e">
        <f>AND(ZORUNLU!#REF!,"AAAAAD+Gvy0=")</f>
        <v>#REF!</v>
      </c>
      <c r="AU4" t="e">
        <f>IF(ZORUNLU!#REF!,"AAAAAD+Gvy4=",0)</f>
        <v>#REF!</v>
      </c>
      <c r="AV4" t="e">
        <f>AND(ZORUNLU!B43,"AAAAAD+Gvy8=")</f>
        <v>#VALUE!</v>
      </c>
      <c r="AW4" t="e">
        <f>AND(ZORUNLU!C43,"AAAAAD+GvzA=")</f>
        <v>#VALUE!</v>
      </c>
      <c r="AX4" t="e">
        <f>AND(ZORUNLU!D43,"AAAAAD+GvzE=")</f>
        <v>#VALUE!</v>
      </c>
      <c r="AY4" t="e">
        <f>AND(ZORUNLU!E43,"AAAAAD+GvzI=")</f>
        <v>#VALUE!</v>
      </c>
      <c r="AZ4" t="e">
        <f>AND(ZORUNLU!F43,"AAAAAD+GvzM=")</f>
        <v>#VALUE!</v>
      </c>
      <c r="BA4" t="e">
        <f>AND(ZORUNLU!G43,"AAAAAD+GvzQ=")</f>
        <v>#VALUE!</v>
      </c>
      <c r="BB4" t="e">
        <f>AND(ZORUNLU!#REF!,"AAAAAD+GvzU=")</f>
        <v>#REF!</v>
      </c>
      <c r="BC4" t="e">
        <f>AND(ZORUNLU!#REF!,"AAAAAD+GvzY=")</f>
        <v>#REF!</v>
      </c>
      <c r="BD4" t="e">
        <f>AND(ZORUNLU!#REF!,"AAAAAD+Gvzc=")</f>
        <v>#REF!</v>
      </c>
      <c r="BE4" t="e">
        <f>AND(ZORUNLU!#REF!,"AAAAAD+Gvzg=")</f>
        <v>#REF!</v>
      </c>
      <c r="BF4" t="e">
        <f>AND(ZORUNLU!#REF!,"AAAAAD+Gvzk=")</f>
        <v>#REF!</v>
      </c>
      <c r="BG4" t="e">
        <f>AND(ZORUNLU!#REF!,"AAAAAD+Gvzo=")</f>
        <v>#REF!</v>
      </c>
      <c r="BH4" t="e">
        <f>AND(ZORUNLU!#REF!,"AAAAAD+Gvzs=")</f>
        <v>#REF!</v>
      </c>
      <c r="BI4" t="e">
        <f>AND(ZORUNLU!#REF!,"AAAAAD+Gvzw=")</f>
        <v>#REF!</v>
      </c>
      <c r="BJ4" t="e">
        <f>AND(ZORUNLU!#REF!,"AAAAAD+Gvz0=")</f>
        <v>#REF!</v>
      </c>
      <c r="BK4" t="e">
        <f>AND(ZORUNLU!#REF!,"AAAAAD+Gvz4=")</f>
        <v>#REF!</v>
      </c>
      <c r="BL4" t="e">
        <f>AND(ZORUNLU!#REF!,"AAAAAD+Gvz8=")</f>
        <v>#REF!</v>
      </c>
      <c r="BM4" t="e">
        <f>AND(ZORUNLU!#REF!,"AAAAAD+Gv0A=")</f>
        <v>#REF!</v>
      </c>
      <c r="BN4" t="e">
        <f>AND(ZORUNLU!#REF!,"AAAAAD+Gv0E=")</f>
        <v>#REF!</v>
      </c>
      <c r="BO4" t="e">
        <f>AND(ZORUNLU!#REF!,"AAAAAD+Gv0I=")</f>
        <v>#REF!</v>
      </c>
      <c r="BP4" t="e">
        <f>AND(ZORUNLU!#REF!,"AAAAAD+Gv0M=")</f>
        <v>#REF!</v>
      </c>
      <c r="BQ4" t="e">
        <f>IF(ZORUNLU!#REF!,"AAAAAD+Gv0Q=",0)</f>
        <v>#REF!</v>
      </c>
      <c r="BR4" t="e">
        <f>AND(ZORUNLU!#REF!,"AAAAAD+Gv0U=")</f>
        <v>#REF!</v>
      </c>
      <c r="BS4" t="e">
        <f>AND(ZORUNLU!#REF!,"AAAAAD+Gv0Y=")</f>
        <v>#REF!</v>
      </c>
      <c r="BT4" t="e">
        <f>AND(ZORUNLU!D40,"AAAAAD+Gv0c=")</f>
        <v>#VALUE!</v>
      </c>
      <c r="BU4" t="e">
        <f>AND(ZORUNLU!E40,"AAAAAD+Gv0g=")</f>
        <v>#VALUE!</v>
      </c>
      <c r="BV4" t="e">
        <f>AND(ZORUNLU!F40,"AAAAAD+Gv0k=")</f>
        <v>#VALUE!</v>
      </c>
      <c r="BW4" t="e">
        <f>AND(ZORUNLU!G40,"AAAAAD+Gv0o=")</f>
        <v>#VALUE!</v>
      </c>
      <c r="BX4" t="e">
        <f>AND(ZORUNLU!#REF!,"AAAAAD+Gv0s=")</f>
        <v>#REF!</v>
      </c>
      <c r="BY4" t="e">
        <f>AND(ZORUNLU!I42,"AAAAAD+Gv0w=")</f>
        <v>#VALUE!</v>
      </c>
      <c r="BZ4" t="e">
        <f>AND(ZORUNLU!J42,"AAAAAD+Gv00=")</f>
        <v>#VALUE!</v>
      </c>
      <c r="CA4" t="e">
        <f>AND(ZORUNLU!K42,"AAAAAD+Gv04=")</f>
        <v>#VALUE!</v>
      </c>
      <c r="CB4" t="e">
        <f>AND(ZORUNLU!L42,"AAAAAD+Gv08=")</f>
        <v>#VALUE!</v>
      </c>
      <c r="CC4" t="e">
        <f>AND(ZORUNLU!M42,"AAAAAD+Gv1A=")</f>
        <v>#VALUE!</v>
      </c>
      <c r="CD4" t="e">
        <f>AND(ZORUNLU!N42,"AAAAAD+Gv1E=")</f>
        <v>#VALUE!</v>
      </c>
      <c r="CE4" t="e">
        <f>AND(ZORUNLU!#REF!,"AAAAAD+Gv1I=")</f>
        <v>#REF!</v>
      </c>
      <c r="CF4" t="e">
        <f>AND(ZORUNLU!#REF!,"AAAAAD+Gv1M=")</f>
        <v>#REF!</v>
      </c>
      <c r="CG4" t="e">
        <f>AND(ZORUNLU!#REF!,"AAAAAD+Gv1Q=")</f>
        <v>#REF!</v>
      </c>
      <c r="CH4" t="e">
        <f>AND(ZORUNLU!#REF!,"AAAAAD+Gv1U=")</f>
        <v>#REF!</v>
      </c>
      <c r="CI4" t="e">
        <f>AND(ZORUNLU!#REF!,"AAAAAD+Gv1Y=")</f>
        <v>#REF!</v>
      </c>
      <c r="CJ4" t="e">
        <f>AND(ZORUNLU!#REF!,"AAAAAD+Gv1c=")</f>
        <v>#REF!</v>
      </c>
      <c r="CK4" t="e">
        <f>AND(ZORUNLU!#REF!,"AAAAAD+Gv1g=")</f>
        <v>#REF!</v>
      </c>
      <c r="CL4" t="e">
        <f>AND(ZORUNLU!#REF!,"AAAAAD+Gv1k=")</f>
        <v>#REF!</v>
      </c>
      <c r="CM4" t="e">
        <f>IF(ZORUNLU!#REF!,"AAAAAD+Gv1o=",0)</f>
        <v>#REF!</v>
      </c>
      <c r="CN4" t="e">
        <f>AND(ZORUNLU!#REF!,"AAAAAD+Gv1s=")</f>
        <v>#REF!</v>
      </c>
      <c r="CO4" t="e">
        <f>AND(ZORUNLU!#REF!,"AAAAAD+Gv1w=")</f>
        <v>#REF!</v>
      </c>
      <c r="CP4" t="e">
        <f>AND(ZORUNLU!#REF!,"AAAAAD+Gv10=")</f>
        <v>#REF!</v>
      </c>
      <c r="CQ4" t="e">
        <f>AND(ZORUNLU!#REF!,"AAAAAD+Gv14=")</f>
        <v>#REF!</v>
      </c>
      <c r="CR4" t="e">
        <f>AND(ZORUNLU!#REF!,"AAAAAD+Gv18=")</f>
        <v>#REF!</v>
      </c>
      <c r="CS4" t="e">
        <f>AND(ZORUNLU!#REF!,"AAAAAD+Gv2A=")</f>
        <v>#REF!</v>
      </c>
      <c r="CT4" t="e">
        <f>AND(ZORUNLU!#REF!,"AAAAAD+Gv2E=")</f>
        <v>#REF!</v>
      </c>
      <c r="CU4" t="e">
        <f>AND(ZORUNLU!I46,"AAAAAD+Gv2I=")</f>
        <v>#VALUE!</v>
      </c>
      <c r="CV4" t="e">
        <f>AND(ZORUNLU!J46,"AAAAAD+Gv2M=")</f>
        <v>#VALUE!</v>
      </c>
      <c r="CW4" t="e">
        <f>AND(ZORUNLU!K46,"AAAAAD+Gv2Q=")</f>
        <v>#VALUE!</v>
      </c>
      <c r="CX4" t="e">
        <f>AND(ZORUNLU!L46,"AAAAAD+Gv2U=")</f>
        <v>#VALUE!</v>
      </c>
      <c r="CY4" t="e">
        <f>AND(ZORUNLU!M46,"AAAAAD+Gv2Y=")</f>
        <v>#VALUE!</v>
      </c>
      <c r="CZ4" t="e">
        <f>AND(ZORUNLU!N46,"AAAAAD+Gv2c=")</f>
        <v>#VALUE!</v>
      </c>
      <c r="DA4" t="e">
        <f>AND(ZORUNLU!#REF!,"AAAAAD+Gv2g=")</f>
        <v>#REF!</v>
      </c>
      <c r="DB4" t="e">
        <f>AND(ZORUNLU!#REF!,"AAAAAD+Gv2k=")</f>
        <v>#REF!</v>
      </c>
      <c r="DC4" t="e">
        <f>AND(ZORUNLU!#REF!,"AAAAAD+Gv2o=")</f>
        <v>#REF!</v>
      </c>
      <c r="DD4" t="e">
        <f>AND(ZORUNLU!#REF!,"AAAAAD+Gv2s=")</f>
        <v>#REF!</v>
      </c>
      <c r="DE4" t="e">
        <f>AND(ZORUNLU!#REF!,"AAAAAD+Gv2w=")</f>
        <v>#REF!</v>
      </c>
      <c r="DF4" t="e">
        <f>AND(ZORUNLU!#REF!,"AAAAAD+Gv20=")</f>
        <v>#REF!</v>
      </c>
      <c r="DG4" t="e">
        <f>AND(ZORUNLU!#REF!,"AAAAAD+Gv24=")</f>
        <v>#REF!</v>
      </c>
      <c r="DH4" t="e">
        <f>AND(ZORUNLU!#REF!,"AAAAAD+Gv28=")</f>
        <v>#REF!</v>
      </c>
      <c r="DI4">
        <f>IF(ZORUNLU!51:51,"AAAAAD+Gv3A=",0)</f>
        <v>0</v>
      </c>
      <c r="DJ4" t="e">
        <f>AND(ZORUNLU!B40,"AAAAAD+Gv3E=")</f>
        <v>#VALUE!</v>
      </c>
      <c r="DK4" t="e">
        <f>AND(ZORUNLU!C40,"AAAAAD+Gv3I=")</f>
        <v>#VALUE!</v>
      </c>
      <c r="DL4" t="e">
        <f>AND(ZORUNLU!#REF!,"AAAAAD+Gv3M=")</f>
        <v>#REF!</v>
      </c>
      <c r="DM4" t="e">
        <f>AND(ZORUNLU!#REF!,"AAAAAD+Gv3Q=")</f>
        <v>#REF!</v>
      </c>
      <c r="DN4" t="e">
        <f>AND(ZORUNLU!#REF!,"AAAAAD+Gv3U=")</f>
        <v>#REF!</v>
      </c>
      <c r="DO4" t="e">
        <f>AND(ZORUNLU!#REF!,"AAAAAD+Gv3Y=")</f>
        <v>#REF!</v>
      </c>
      <c r="DP4" t="e">
        <f>AND(ZORUNLU!H51,"AAAAAD+Gv3c=")</f>
        <v>#VALUE!</v>
      </c>
      <c r="DQ4" t="e">
        <f>AND(ZORUNLU!#REF!,"AAAAAD+Gv3g=")</f>
        <v>#REF!</v>
      </c>
      <c r="DR4" t="e">
        <f>AND(ZORUNLU!#REF!,"AAAAAD+Gv3k=")</f>
        <v>#REF!</v>
      </c>
      <c r="DS4" t="e">
        <f>AND(ZORUNLU!#REF!,"AAAAAD+Gv3o=")</f>
        <v>#REF!</v>
      </c>
      <c r="DT4" t="e">
        <f>AND(ZORUNLU!#REF!,"AAAAAD+Gv3s=")</f>
        <v>#REF!</v>
      </c>
      <c r="DU4" t="e">
        <f>AND(ZORUNLU!#REF!,"AAAAAD+Gv3w=")</f>
        <v>#REF!</v>
      </c>
      <c r="DV4" t="e">
        <f>AND(ZORUNLU!#REF!,"AAAAAD+Gv30=")</f>
        <v>#REF!</v>
      </c>
      <c r="DW4" t="e">
        <f>AND(ZORUNLU!O51,"AAAAAD+Gv34=")</f>
        <v>#VALUE!</v>
      </c>
      <c r="DX4" t="e">
        <f>AND(ZORUNLU!P51,"AAAAAD+Gv38=")</f>
        <v>#VALUE!</v>
      </c>
      <c r="DY4" t="e">
        <f>AND(ZORUNLU!#REF!,"AAAAAD+Gv4A=")</f>
        <v>#REF!</v>
      </c>
      <c r="DZ4" t="e">
        <f>AND(ZORUNLU!#REF!,"AAAAAD+Gv4E=")</f>
        <v>#REF!</v>
      </c>
      <c r="EA4" t="e">
        <f>AND(ZORUNLU!#REF!,"AAAAAD+Gv4I=")</f>
        <v>#REF!</v>
      </c>
      <c r="EB4" t="e">
        <f>AND(ZORUNLU!#REF!,"AAAAAD+Gv4M=")</f>
        <v>#REF!</v>
      </c>
      <c r="EC4" t="e">
        <f>AND(ZORUNLU!#REF!,"AAAAAD+Gv4Q=")</f>
        <v>#REF!</v>
      </c>
      <c r="ED4" t="e">
        <f>AND(ZORUNLU!#REF!,"AAAAAD+Gv4U=")</f>
        <v>#REF!</v>
      </c>
      <c r="EE4">
        <f>IF(ZORUNLU!52:52,"AAAAAD+Gv4Y=",0)</f>
        <v>0</v>
      </c>
      <c r="EF4" t="e">
        <f>AND(ZORUNLU!#REF!,"AAAAAD+Gv4c=")</f>
        <v>#REF!</v>
      </c>
      <c r="EG4" t="e">
        <f>AND(ZORUNLU!#REF!,"AAAAAD+Gv4g=")</f>
        <v>#REF!</v>
      </c>
      <c r="EH4" t="e">
        <f>AND(ZORUNLU!#REF!,"AAAAAD+Gv4k=")</f>
        <v>#REF!</v>
      </c>
      <c r="EI4" t="e">
        <f>AND(ZORUNLU!#REF!,"AAAAAD+Gv4o=")</f>
        <v>#REF!</v>
      </c>
      <c r="EJ4" t="e">
        <f>AND(ZORUNLU!#REF!,"AAAAAD+Gv4s=")</f>
        <v>#REF!</v>
      </c>
      <c r="EK4" t="e">
        <f>AND(ZORUNLU!#REF!,"AAAAAD+Gv4w=")</f>
        <v>#REF!</v>
      </c>
      <c r="EL4" t="e">
        <f>AND(ZORUNLU!H52,"AAAAAD+Gv40=")</f>
        <v>#VALUE!</v>
      </c>
      <c r="EM4" t="e">
        <f>AND(ZORUNLU!#REF!,"AAAAAD+Gv44=")</f>
        <v>#REF!</v>
      </c>
      <c r="EN4" t="e">
        <f>AND(ZORUNLU!#REF!,"AAAAAD+Gv48=")</f>
        <v>#REF!</v>
      </c>
      <c r="EO4" t="e">
        <f>AND(ZORUNLU!#REF!,"AAAAAD+Gv5A=")</f>
        <v>#REF!</v>
      </c>
      <c r="EP4" t="e">
        <f>AND(ZORUNLU!#REF!,"AAAAAD+Gv5E=")</f>
        <v>#REF!</v>
      </c>
      <c r="EQ4" t="e">
        <f>AND(ZORUNLU!#REF!,"AAAAAD+Gv5I=")</f>
        <v>#REF!</v>
      </c>
      <c r="ER4" t="e">
        <f>AND(ZORUNLU!#REF!,"AAAAAD+Gv5M=")</f>
        <v>#REF!</v>
      </c>
      <c r="ES4" t="e">
        <f>AND(ZORUNLU!O52,"AAAAAD+Gv5Q=")</f>
        <v>#VALUE!</v>
      </c>
      <c r="ET4" t="e">
        <f>AND(ZORUNLU!P52,"AAAAAD+Gv5U=")</f>
        <v>#VALUE!</v>
      </c>
      <c r="EU4" t="e">
        <f>AND(ZORUNLU!#REF!,"AAAAAD+Gv5Y=")</f>
        <v>#REF!</v>
      </c>
      <c r="EV4" t="e">
        <f>AND(ZORUNLU!#REF!,"AAAAAD+Gv5c=")</f>
        <v>#REF!</v>
      </c>
      <c r="EW4" t="e">
        <f>AND(ZORUNLU!#REF!,"AAAAAD+Gv5g=")</f>
        <v>#REF!</v>
      </c>
      <c r="EX4" t="e">
        <f>AND(ZORUNLU!#REF!,"AAAAAD+Gv5k=")</f>
        <v>#REF!</v>
      </c>
      <c r="EY4" t="e">
        <f>AND(ZORUNLU!#REF!,"AAAAAD+Gv5o=")</f>
        <v>#REF!</v>
      </c>
      <c r="EZ4" t="e">
        <f>AND(ZORUNLU!#REF!,"AAAAAD+Gv5s=")</f>
        <v>#REF!</v>
      </c>
      <c r="FA4">
        <f>IF(ZORUNLU!53:53,"AAAAAD+Gv5w=",0)</f>
        <v>0</v>
      </c>
      <c r="FB4" t="e">
        <f>AND(ZORUNLU!B51,"AAAAAD+Gv50=")</f>
        <v>#VALUE!</v>
      </c>
      <c r="FC4" t="e">
        <f>AND(ZORUNLU!C51,"AAAAAD+Gv54=")</f>
        <v>#VALUE!</v>
      </c>
      <c r="FD4" t="e">
        <f>AND(ZORUNLU!D51,"AAAAAD+Gv58=")</f>
        <v>#VALUE!</v>
      </c>
      <c r="FE4" t="e">
        <f>AND(ZORUNLU!E51,"AAAAAD+Gv6A=")</f>
        <v>#VALUE!</v>
      </c>
      <c r="FF4" t="e">
        <f>AND(ZORUNLU!F51,"AAAAAD+Gv6E=")</f>
        <v>#VALUE!</v>
      </c>
      <c r="FG4" t="e">
        <f>AND(ZORUNLU!G51,"AAAAAD+Gv6I=")</f>
        <v>#VALUE!</v>
      </c>
      <c r="FH4" t="e">
        <f>AND(ZORUNLU!H53,"AAAAAD+Gv6M=")</f>
        <v>#VALUE!</v>
      </c>
      <c r="FI4" t="e">
        <f>AND(ZORUNLU!I51,"AAAAAD+Gv6Q=")</f>
        <v>#VALUE!</v>
      </c>
      <c r="FJ4" t="e">
        <f>AND(ZORUNLU!J51,"AAAAAD+Gv6U=")</f>
        <v>#VALUE!</v>
      </c>
      <c r="FK4" t="e">
        <f>AND(ZORUNLU!K51,"AAAAAD+Gv6Y=")</f>
        <v>#VALUE!</v>
      </c>
      <c r="FL4" t="e">
        <f>AND(ZORUNLU!L51,"AAAAAD+Gv6c=")</f>
        <v>#VALUE!</v>
      </c>
      <c r="FM4" t="e">
        <f>AND(ZORUNLU!M51,"AAAAAD+Gv6g=")</f>
        <v>#VALUE!</v>
      </c>
      <c r="FN4" t="e">
        <f>AND(ZORUNLU!N51,"AAAAAD+Gv6k=")</f>
        <v>#VALUE!</v>
      </c>
      <c r="FO4" t="e">
        <f>AND(ZORUNLU!O53,"AAAAAD+Gv6o=")</f>
        <v>#VALUE!</v>
      </c>
      <c r="FP4" t="e">
        <f>AND(ZORUNLU!P53,"AAAAAD+Gv6s=")</f>
        <v>#VALUE!</v>
      </c>
      <c r="FQ4" t="e">
        <f>AND(ZORUNLU!#REF!,"AAAAAD+Gv6w=")</f>
        <v>#REF!</v>
      </c>
      <c r="FR4" t="e">
        <f>AND(ZORUNLU!#REF!,"AAAAAD+Gv60=")</f>
        <v>#REF!</v>
      </c>
      <c r="FS4" t="e">
        <f>AND(ZORUNLU!#REF!,"AAAAAD+Gv64=")</f>
        <v>#REF!</v>
      </c>
      <c r="FT4" t="e">
        <f>AND(ZORUNLU!#REF!,"AAAAAD+Gv68=")</f>
        <v>#REF!</v>
      </c>
      <c r="FU4" t="e">
        <f>AND(ZORUNLU!#REF!,"AAAAAD+Gv7A=")</f>
        <v>#REF!</v>
      </c>
      <c r="FV4" t="e">
        <f>AND(ZORUNLU!#REF!,"AAAAAD+Gv7E=")</f>
        <v>#REF!</v>
      </c>
      <c r="FW4">
        <f>IF(ZORUNLU!54:54,"AAAAAD+Gv7I=",0)</f>
        <v>0</v>
      </c>
      <c r="FX4" t="e">
        <f>AND(ZORUNLU!B52,"AAAAAD+Gv7M=")</f>
        <v>#VALUE!</v>
      </c>
      <c r="FY4" t="e">
        <f>AND(ZORUNLU!C52,"AAAAAD+Gv7Q=")</f>
        <v>#VALUE!</v>
      </c>
      <c r="FZ4" t="e">
        <f>AND(ZORUNLU!D52,"AAAAAD+Gv7U=")</f>
        <v>#VALUE!</v>
      </c>
      <c r="GA4" t="e">
        <f>AND(ZORUNLU!E52,"AAAAAD+Gv7Y=")</f>
        <v>#VALUE!</v>
      </c>
      <c r="GB4" t="e">
        <f>AND(ZORUNLU!F52,"AAAAAD+Gv7c=")</f>
        <v>#VALUE!</v>
      </c>
      <c r="GC4" t="e">
        <f>AND(ZORUNLU!G52,"AAAAAD+Gv7g=")</f>
        <v>#VALUE!</v>
      </c>
      <c r="GD4" t="e">
        <f>AND(ZORUNLU!H54,"AAAAAD+Gv7k=")</f>
        <v>#VALUE!</v>
      </c>
      <c r="GE4" t="e">
        <f>AND(ZORUNLU!I52,"AAAAAD+Gv7o=")</f>
        <v>#VALUE!</v>
      </c>
      <c r="GF4" t="e">
        <f>AND(ZORUNLU!J52,"AAAAAD+Gv7s=")</f>
        <v>#VALUE!</v>
      </c>
      <c r="GG4" t="e">
        <f>AND(ZORUNLU!K52,"AAAAAD+Gv7w=")</f>
        <v>#VALUE!</v>
      </c>
      <c r="GH4" t="e">
        <f>AND(ZORUNLU!L52,"AAAAAD+Gv70=")</f>
        <v>#VALUE!</v>
      </c>
      <c r="GI4" t="e">
        <f>AND(ZORUNLU!M52,"AAAAAD+Gv74=")</f>
        <v>#VALUE!</v>
      </c>
      <c r="GJ4" t="e">
        <f>AND(ZORUNLU!N52,"AAAAAD+Gv78=")</f>
        <v>#VALUE!</v>
      </c>
      <c r="GK4" t="e">
        <f>AND(ZORUNLU!O54,"AAAAAD+Gv8A=")</f>
        <v>#VALUE!</v>
      </c>
      <c r="GL4" t="e">
        <f>AND(ZORUNLU!P54,"AAAAAD+Gv8E=")</f>
        <v>#VALUE!</v>
      </c>
      <c r="GM4" t="e">
        <f>AND(ZORUNLU!#REF!,"AAAAAD+Gv8I=")</f>
        <v>#REF!</v>
      </c>
      <c r="GN4" t="e">
        <f>AND(ZORUNLU!#REF!,"AAAAAD+Gv8M=")</f>
        <v>#REF!</v>
      </c>
      <c r="GO4" t="e">
        <f>AND(ZORUNLU!#REF!,"AAAAAD+Gv8Q=")</f>
        <v>#REF!</v>
      </c>
      <c r="GP4" t="e">
        <f>AND(ZORUNLU!#REF!,"AAAAAD+Gv8U=")</f>
        <v>#REF!</v>
      </c>
      <c r="GQ4" t="e">
        <f>AND(ZORUNLU!#REF!,"AAAAAD+Gv8Y=")</f>
        <v>#REF!</v>
      </c>
      <c r="GR4" t="e">
        <f>AND(ZORUNLU!#REF!,"AAAAAD+Gv8c=")</f>
        <v>#REF!</v>
      </c>
      <c r="GS4">
        <f>IF(ZORUNLU!59:59,"AAAAAD+Gv8g=",0)</f>
        <v>0</v>
      </c>
      <c r="GT4" t="e">
        <f>AND(ZORUNLU!B57,"AAAAAD+Gv8k=")</f>
        <v>#VALUE!</v>
      </c>
      <c r="GU4" t="e">
        <f>AND(ZORUNLU!C57,"AAAAAD+Gv8o=")</f>
        <v>#VALUE!</v>
      </c>
      <c r="GV4" t="e">
        <f>AND(ZORUNLU!D57,"AAAAAD+Gv8s=")</f>
        <v>#VALUE!</v>
      </c>
      <c r="GW4" t="e">
        <f>AND(ZORUNLU!E57,"AAAAAD+Gv8w=")</f>
        <v>#VALUE!</v>
      </c>
      <c r="GX4" t="e">
        <f>AND(ZORUNLU!F57,"AAAAAD+Gv80=")</f>
        <v>#VALUE!</v>
      </c>
      <c r="GY4" t="e">
        <f>AND(ZORUNLU!G57,"AAAAAD+Gv84=")</f>
        <v>#VALUE!</v>
      </c>
      <c r="GZ4" t="e">
        <f>AND(ZORUNLU!H59,"AAAAAD+Gv88=")</f>
        <v>#VALUE!</v>
      </c>
      <c r="HA4" t="e">
        <f>AND(ZORUNLU!#REF!,"AAAAAD+Gv9A=")</f>
        <v>#REF!</v>
      </c>
      <c r="HB4" t="e">
        <f>AND(ZORUNLU!#REF!,"AAAAAD+Gv9E=")</f>
        <v>#REF!</v>
      </c>
      <c r="HC4" t="e">
        <f>AND(ZORUNLU!#REF!,"AAAAAD+Gv9I=")</f>
        <v>#REF!</v>
      </c>
      <c r="HD4" t="e">
        <f>AND(ZORUNLU!#REF!,"AAAAAD+Gv9M=")</f>
        <v>#REF!</v>
      </c>
      <c r="HE4" t="e">
        <f>AND(ZORUNLU!#REF!,"AAAAAD+Gv9Q=")</f>
        <v>#REF!</v>
      </c>
      <c r="HF4" t="e">
        <f>AND(ZORUNLU!#REF!,"AAAAAD+Gv9U=")</f>
        <v>#REF!</v>
      </c>
      <c r="HG4" t="e">
        <f>AND(ZORUNLU!O59,"AAAAAD+Gv9Y=")</f>
        <v>#VALUE!</v>
      </c>
      <c r="HH4" t="e">
        <f>AND(ZORUNLU!P59,"AAAAAD+Gv9c=")</f>
        <v>#VALUE!</v>
      </c>
      <c r="HI4" t="e">
        <f>AND(ZORUNLU!#REF!,"AAAAAD+Gv9g=")</f>
        <v>#REF!</v>
      </c>
      <c r="HJ4" t="e">
        <f>AND(ZORUNLU!#REF!,"AAAAAD+Gv9k=")</f>
        <v>#REF!</v>
      </c>
      <c r="HK4" t="e">
        <f>AND(ZORUNLU!#REF!,"AAAAAD+Gv9o=")</f>
        <v>#REF!</v>
      </c>
      <c r="HL4" t="e">
        <f>AND(ZORUNLU!#REF!,"AAAAAD+Gv9s=")</f>
        <v>#REF!</v>
      </c>
      <c r="HM4" t="e">
        <f>AND(ZORUNLU!#REF!,"AAAAAD+Gv9w=")</f>
        <v>#REF!</v>
      </c>
      <c r="HN4" t="e">
        <f>AND(ZORUNLU!#REF!,"AAAAAD+Gv90=")</f>
        <v>#REF!</v>
      </c>
      <c r="HO4" t="e">
        <f>IF(ZORUNLU!#REF!,"AAAAAD+Gv94=",0)</f>
        <v>#REF!</v>
      </c>
      <c r="HP4" t="e">
        <f>AND(ZORUNLU!#REF!,"AAAAAD+Gv98=")</f>
        <v>#REF!</v>
      </c>
      <c r="HQ4" t="e">
        <f>AND(ZORUNLU!#REF!,"AAAAAD+Gv+A=")</f>
        <v>#REF!</v>
      </c>
      <c r="HR4" t="e">
        <f>AND(ZORUNLU!#REF!,"AAAAAD+Gv+E=")</f>
        <v>#REF!</v>
      </c>
      <c r="HS4" t="e">
        <f>AND(ZORUNLU!#REF!,"AAAAAD+Gv+I=")</f>
        <v>#REF!</v>
      </c>
      <c r="HT4" t="e">
        <f>AND(ZORUNLU!#REF!,"AAAAAD+Gv+M=")</f>
        <v>#REF!</v>
      </c>
      <c r="HU4" t="e">
        <f>AND(ZORUNLU!#REF!,"AAAAAD+Gv+Q=")</f>
        <v>#REF!</v>
      </c>
      <c r="HV4" t="e">
        <f>AND(ZORUNLU!#REF!,"AAAAAD+Gv+U=")</f>
        <v>#REF!</v>
      </c>
      <c r="HW4" t="e">
        <f>AND(ZORUNLU!I57,"AAAAAD+Gv+Y=")</f>
        <v>#VALUE!</v>
      </c>
      <c r="HX4" t="e">
        <f>AND(ZORUNLU!J57,"AAAAAD+Gv+c=")</f>
        <v>#VALUE!</v>
      </c>
      <c r="HY4" t="e">
        <f>AND(ZORUNLU!K57,"AAAAAD+Gv+g=")</f>
        <v>#VALUE!</v>
      </c>
      <c r="HZ4" t="e">
        <f>AND(ZORUNLU!L57,"AAAAAD+Gv+k=")</f>
        <v>#VALUE!</v>
      </c>
      <c r="IA4" t="e">
        <f>AND(ZORUNLU!M57,"AAAAAD+Gv+o=")</f>
        <v>#VALUE!</v>
      </c>
      <c r="IB4" t="e">
        <f>AND(ZORUNLU!N57,"AAAAAD+Gv+s=")</f>
        <v>#VALUE!</v>
      </c>
      <c r="IC4" t="e">
        <f>AND(ZORUNLU!#REF!,"AAAAAD+Gv+w=")</f>
        <v>#REF!</v>
      </c>
      <c r="ID4" t="e">
        <f>AND(ZORUNLU!#REF!,"AAAAAD+Gv+0=")</f>
        <v>#REF!</v>
      </c>
      <c r="IE4" t="e">
        <f>AND(ZORUNLU!#REF!,"AAAAAD+Gv+4=")</f>
        <v>#REF!</v>
      </c>
      <c r="IF4" t="e">
        <f>AND(ZORUNLU!#REF!,"AAAAAD+Gv+8=")</f>
        <v>#REF!</v>
      </c>
      <c r="IG4" t="e">
        <f>AND(ZORUNLU!#REF!,"AAAAAD+Gv/A=")</f>
        <v>#REF!</v>
      </c>
      <c r="IH4" t="e">
        <f>AND(ZORUNLU!#REF!,"AAAAAD+Gv/E=")</f>
        <v>#REF!</v>
      </c>
      <c r="II4" t="e">
        <f>AND(ZORUNLU!#REF!,"AAAAAD+Gv/I=")</f>
        <v>#REF!</v>
      </c>
      <c r="IJ4" t="e">
        <f>AND(ZORUNLU!#REF!,"AAAAAD+Gv/M=")</f>
        <v>#REF!</v>
      </c>
      <c r="IK4" t="e">
        <f>IF(ZORUNLU!#REF!,"AAAAAD+Gv/Q=",0)</f>
        <v>#REF!</v>
      </c>
      <c r="IL4" t="e">
        <f>AND(ZORUNLU!B53,"AAAAAD+Gv/U=")</f>
        <v>#VALUE!</v>
      </c>
      <c r="IM4" t="e">
        <f>AND(ZORUNLU!C53,"AAAAAD+Gv/Y=")</f>
        <v>#VALUE!</v>
      </c>
      <c r="IN4" t="e">
        <f>AND(ZORUNLU!D53,"AAAAAD+Gv/c=")</f>
        <v>#VALUE!</v>
      </c>
      <c r="IO4" t="e">
        <f>AND(ZORUNLU!E53,"AAAAAD+Gv/g=")</f>
        <v>#VALUE!</v>
      </c>
      <c r="IP4" t="e">
        <f>AND(ZORUNLU!F53,"AAAAAD+Gv/k=")</f>
        <v>#VALUE!</v>
      </c>
      <c r="IQ4" t="e">
        <f>AND(ZORUNLU!G53,"AAAAAD+Gv/o=")</f>
        <v>#VALUE!</v>
      </c>
      <c r="IR4" t="e">
        <f>AND(ZORUNLU!#REF!,"AAAAAD+Gv/s=")</f>
        <v>#REF!</v>
      </c>
      <c r="IS4" t="e">
        <f>AND(ZORUNLU!I56,"AAAAAD+Gv/w=")</f>
        <v>#VALUE!</v>
      </c>
      <c r="IT4" t="e">
        <f>AND(ZORUNLU!#REF!,"AAAAAD+Gv/0=")</f>
        <v>#REF!</v>
      </c>
      <c r="IU4" t="e">
        <f>AND(ZORUNLU!K56,"AAAAAD+Gv/4=")</f>
        <v>#VALUE!</v>
      </c>
      <c r="IV4" t="e">
        <f>AND(ZORUNLU!L56,"AAAAAD+Gv/8=")</f>
        <v>#VALUE!</v>
      </c>
    </row>
    <row r="5" spans="1:256" x14ac:dyDescent="0.25">
      <c r="A5" t="e">
        <f>AND(ZORUNLU!M56,"AAAAACobZwA=")</f>
        <v>#VALUE!</v>
      </c>
      <c r="B5" t="e">
        <f>AND(ZORUNLU!N56,"AAAAACobZwE=")</f>
        <v>#VALUE!</v>
      </c>
      <c r="C5" t="e">
        <f>AND(ZORUNLU!#REF!,"AAAAACobZwI=")</f>
        <v>#REF!</v>
      </c>
      <c r="D5" t="e">
        <f>AND(ZORUNLU!#REF!,"AAAAACobZwM=")</f>
        <v>#REF!</v>
      </c>
      <c r="E5" t="e">
        <f>AND(ZORUNLU!#REF!,"AAAAACobZwQ=")</f>
        <v>#REF!</v>
      </c>
      <c r="F5" t="e">
        <f>AND(ZORUNLU!#REF!,"AAAAACobZwU=")</f>
        <v>#REF!</v>
      </c>
      <c r="G5" t="e">
        <f>AND(ZORUNLU!#REF!,"AAAAACobZwY=")</f>
        <v>#REF!</v>
      </c>
      <c r="H5" t="e">
        <f>AND(ZORUNLU!#REF!,"AAAAACobZwc=")</f>
        <v>#REF!</v>
      </c>
      <c r="I5" t="e">
        <f>AND(ZORUNLU!#REF!,"AAAAACobZwg=")</f>
        <v>#REF!</v>
      </c>
      <c r="J5" t="e">
        <f>AND(ZORUNLU!#REF!,"AAAAACobZwk=")</f>
        <v>#REF!</v>
      </c>
      <c r="K5">
        <f>IF(ZORUNLU!63:63,"AAAAACobZwo=",0)</f>
        <v>0</v>
      </c>
      <c r="L5" t="e">
        <f>AND(ZORUNLU!B54,"AAAAACobZws=")</f>
        <v>#VALUE!</v>
      </c>
      <c r="M5" t="e">
        <f>AND(ZORUNLU!C54,"AAAAACobZww=")</f>
        <v>#VALUE!</v>
      </c>
      <c r="N5" t="e">
        <f>AND(ZORUNLU!#REF!,"AAAAACobZw0=")</f>
        <v>#REF!</v>
      </c>
      <c r="O5" t="e">
        <f>AND(ZORUNLU!#REF!,"AAAAACobZw4=")</f>
        <v>#REF!</v>
      </c>
      <c r="P5" t="e">
        <f>AND(ZORUNLU!#REF!,"AAAAACobZw8=")</f>
        <v>#REF!</v>
      </c>
      <c r="Q5" t="e">
        <f>AND(ZORUNLU!#REF!,"AAAAACobZxA=")</f>
        <v>#REF!</v>
      </c>
      <c r="R5" t="e">
        <f>AND(ZORUNLU!H62,"AAAAACobZxE=")</f>
        <v>#VALUE!</v>
      </c>
      <c r="S5" t="e">
        <f>AND(ZORUNLU!#REF!,"AAAAACobZxI=")</f>
        <v>#REF!</v>
      </c>
      <c r="T5" t="e">
        <f>AND(ZORUNLU!#REF!,"AAAAACobZxM=")</f>
        <v>#REF!</v>
      </c>
      <c r="U5" t="e">
        <f>AND(ZORUNLU!#REF!,"AAAAACobZxQ=")</f>
        <v>#REF!</v>
      </c>
      <c r="V5" t="e">
        <f>AND(ZORUNLU!#REF!,"AAAAACobZxU=")</f>
        <v>#REF!</v>
      </c>
      <c r="W5" t="e">
        <f>AND(ZORUNLU!#REF!,"AAAAACobZxY=")</f>
        <v>#REF!</v>
      </c>
      <c r="X5" t="e">
        <f>AND(ZORUNLU!#REF!,"AAAAACobZxc=")</f>
        <v>#REF!</v>
      </c>
      <c r="Y5" t="e">
        <f>AND(ZORUNLU!O63,"AAAAACobZxg=")</f>
        <v>#VALUE!</v>
      </c>
      <c r="Z5" t="e">
        <f>AND(ZORUNLU!P63,"AAAAACobZxk=")</f>
        <v>#VALUE!</v>
      </c>
      <c r="AA5" t="e">
        <f>AND(ZORUNLU!#REF!,"AAAAACobZxo=")</f>
        <v>#REF!</v>
      </c>
      <c r="AB5" t="e">
        <f>AND(ZORUNLU!#REF!,"AAAAACobZxs=")</f>
        <v>#REF!</v>
      </c>
      <c r="AC5" t="e">
        <f>AND(ZORUNLU!#REF!,"AAAAACobZxw=")</f>
        <v>#REF!</v>
      </c>
      <c r="AD5" t="e">
        <f>AND(ZORUNLU!#REF!,"AAAAACobZx0=")</f>
        <v>#REF!</v>
      </c>
      <c r="AE5" t="e">
        <f>AND(ZORUNLU!#REF!,"AAAAACobZx4=")</f>
        <v>#REF!</v>
      </c>
      <c r="AF5" t="e">
        <f>AND(ZORUNLU!#REF!,"AAAAACobZx8=")</f>
        <v>#REF!</v>
      </c>
      <c r="AG5">
        <f>IF(ZORUNLU!65:65,"AAAAACobZyA=",0)</f>
        <v>0</v>
      </c>
      <c r="AH5" t="e">
        <f>AND(ZORUNLU!#REF!,"AAAAACobZyE=")</f>
        <v>#REF!</v>
      </c>
      <c r="AI5" t="e">
        <f>AND(ZORUNLU!#REF!,"AAAAACobZyI=")</f>
        <v>#REF!</v>
      </c>
      <c r="AJ5" t="e">
        <f>AND(ZORUNLU!#REF!,"AAAAACobZyM=")</f>
        <v>#REF!</v>
      </c>
      <c r="AK5" t="e">
        <f>AND(ZORUNLU!#REF!,"AAAAACobZyQ=")</f>
        <v>#REF!</v>
      </c>
      <c r="AL5" t="e">
        <f>AND(ZORUNLU!#REF!,"AAAAACobZyU=")</f>
        <v>#REF!</v>
      </c>
      <c r="AM5" t="e">
        <f>AND(ZORUNLU!#REF!,"AAAAACobZyY=")</f>
        <v>#REF!</v>
      </c>
      <c r="AN5" t="e">
        <f>AND(ZORUNLU!H64,"AAAAACobZyc=")</f>
        <v>#VALUE!</v>
      </c>
      <c r="AO5" t="e">
        <f>AND(ZORUNLU!#REF!,"AAAAACobZyg=")</f>
        <v>#REF!</v>
      </c>
      <c r="AP5" t="e">
        <f>AND(ZORUNLU!#REF!,"AAAAACobZyk=")</f>
        <v>#REF!</v>
      </c>
      <c r="AQ5" t="e">
        <f>AND(ZORUNLU!K55,"AAAAACobZyo=")</f>
        <v>#VALUE!</v>
      </c>
      <c r="AR5" t="e">
        <f>AND(ZORUNLU!L55,"AAAAACobZys=")</f>
        <v>#VALUE!</v>
      </c>
      <c r="AS5" t="e">
        <f>AND(ZORUNLU!M55,"AAAAACobZyw=")</f>
        <v>#VALUE!</v>
      </c>
      <c r="AT5" t="e">
        <f>AND(ZORUNLU!#REF!,"AAAAACobZy0=")</f>
        <v>#REF!</v>
      </c>
      <c r="AU5" t="e">
        <f>AND(ZORUNLU!O65,"AAAAACobZy4=")</f>
        <v>#VALUE!</v>
      </c>
      <c r="AV5" t="e">
        <f>AND(ZORUNLU!P65,"AAAAACobZy8=")</f>
        <v>#VALUE!</v>
      </c>
      <c r="AW5" t="e">
        <f>AND(ZORUNLU!#REF!,"AAAAACobZzA=")</f>
        <v>#REF!</v>
      </c>
      <c r="AX5" t="e">
        <f>AND(ZORUNLU!#REF!,"AAAAACobZzE=")</f>
        <v>#REF!</v>
      </c>
      <c r="AY5" t="e">
        <f>AND(ZORUNLU!#REF!,"AAAAACobZzI=")</f>
        <v>#REF!</v>
      </c>
      <c r="AZ5" t="e">
        <f>AND(ZORUNLU!#REF!,"AAAAACobZzM=")</f>
        <v>#REF!</v>
      </c>
      <c r="BA5" t="e">
        <f>AND(ZORUNLU!#REF!,"AAAAACobZzQ=")</f>
        <v>#REF!</v>
      </c>
      <c r="BB5" t="e">
        <f>AND(ZORUNLU!#REF!,"AAAAACobZzU=")</f>
        <v>#REF!</v>
      </c>
      <c r="BC5" t="e">
        <f>IF(ZORUNLU!#REF!,"AAAAACobZzY=",0)</f>
        <v>#REF!</v>
      </c>
      <c r="BD5" t="e">
        <f>AND(ZORUNLU!#REF!,"AAAAACobZzc=")</f>
        <v>#REF!</v>
      </c>
      <c r="BE5" t="e">
        <f>AND(ZORUNLU!#REF!,"AAAAACobZzg=")</f>
        <v>#REF!</v>
      </c>
      <c r="BF5" t="e">
        <f>AND(ZORUNLU!#REF!,"AAAAACobZzk=")</f>
        <v>#REF!</v>
      </c>
      <c r="BG5" t="e">
        <f>AND(ZORUNLU!#REF!,"AAAAACobZzo=")</f>
        <v>#REF!</v>
      </c>
      <c r="BH5" t="e">
        <f>AND(ZORUNLU!#REF!,"AAAAACobZzs=")</f>
        <v>#REF!</v>
      </c>
      <c r="BI5" t="e">
        <f>AND(ZORUNLU!#REF!,"AAAAACobZzw=")</f>
        <v>#REF!</v>
      </c>
      <c r="BJ5" t="e">
        <f>AND(ZORUNLU!H65,"AAAAACobZz0=")</f>
        <v>#VALUE!</v>
      </c>
      <c r="BK5" t="e">
        <f>AND(ZORUNLU!I55,"AAAAACobZz4=")</f>
        <v>#VALUE!</v>
      </c>
      <c r="BL5" t="e">
        <f>AND(ZORUNLU!#REF!,"AAAAACobZz8=")</f>
        <v>#REF!</v>
      </c>
      <c r="BM5" t="e">
        <f>AND(ZORUNLU!D54,"AAAAACobZ0A=")</f>
        <v>#VALUE!</v>
      </c>
      <c r="BN5" t="e">
        <f>AND(ZORUNLU!E54,"AAAAACobZ0E=")</f>
        <v>#VALUE!</v>
      </c>
      <c r="BO5" t="e">
        <f>AND(ZORUNLU!F54,"AAAAACobZ0I=")</f>
        <v>#VALUE!</v>
      </c>
      <c r="BP5" t="e">
        <f>AND(ZORUNLU!N55,"AAAAACobZ0M=")</f>
        <v>#VALUE!</v>
      </c>
      <c r="BQ5" t="e">
        <f>AND(ZORUNLU!#REF!,"AAAAACobZ0Q=")</f>
        <v>#REF!</v>
      </c>
      <c r="BR5" t="e">
        <f>AND(ZORUNLU!#REF!,"AAAAACobZ0U=")</f>
        <v>#REF!</v>
      </c>
      <c r="BS5" t="e">
        <f>AND(ZORUNLU!#REF!,"AAAAACobZ0Y=")</f>
        <v>#REF!</v>
      </c>
      <c r="BT5" t="e">
        <f>AND(ZORUNLU!#REF!,"AAAAACobZ0c=")</f>
        <v>#REF!</v>
      </c>
      <c r="BU5" t="e">
        <f>AND(ZORUNLU!#REF!,"AAAAACobZ0g=")</f>
        <v>#REF!</v>
      </c>
      <c r="BV5" t="e">
        <f>AND(ZORUNLU!#REF!,"AAAAACobZ0k=")</f>
        <v>#REF!</v>
      </c>
      <c r="BW5" t="e">
        <f>AND(ZORUNLU!#REF!,"AAAAACobZ0o=")</f>
        <v>#REF!</v>
      </c>
      <c r="BX5" t="e">
        <f>AND(ZORUNLU!#REF!,"AAAAACobZ0s=")</f>
        <v>#REF!</v>
      </c>
      <c r="BY5" t="e">
        <f>IF(ZORUNLU!#REF!,"AAAAACobZ0w=",0)</f>
        <v>#REF!</v>
      </c>
      <c r="BZ5" t="e">
        <f>AND(ZORUNLU!B59,"AAAAACobZ00=")</f>
        <v>#VALUE!</v>
      </c>
      <c r="CA5" t="e">
        <f>AND(ZORUNLU!C59,"AAAAACobZ04=")</f>
        <v>#VALUE!</v>
      </c>
      <c r="CB5" t="e">
        <f>AND(ZORUNLU!D59,"AAAAACobZ08=")</f>
        <v>#VALUE!</v>
      </c>
      <c r="CC5" t="e">
        <f>AND(ZORUNLU!E59,"AAAAACobZ1A=")</f>
        <v>#VALUE!</v>
      </c>
      <c r="CD5" t="e">
        <f>AND(ZORUNLU!F59,"AAAAACobZ1E=")</f>
        <v>#VALUE!</v>
      </c>
      <c r="CE5" t="e">
        <f>AND(ZORUNLU!G59,"AAAAACobZ1I=")</f>
        <v>#VALUE!</v>
      </c>
      <c r="CF5" t="e">
        <f>AND(ZORUNLU!#REF!,"AAAAACobZ1M=")</f>
        <v>#REF!</v>
      </c>
      <c r="CG5" t="e">
        <f>AND(ZORUNLU!#REF!,"AAAAACobZ1Q=")</f>
        <v>#REF!</v>
      </c>
      <c r="CH5" t="e">
        <f>AND(ZORUNLU!#REF!,"AAAAACobZ1U=")</f>
        <v>#REF!</v>
      </c>
      <c r="CI5" t="e">
        <f>AND(ZORUNLU!#REF!,"AAAAACobZ1Y=")</f>
        <v>#REF!</v>
      </c>
      <c r="CJ5" t="e">
        <f>AND(ZORUNLU!#REF!,"AAAAACobZ1c=")</f>
        <v>#REF!</v>
      </c>
      <c r="CK5" t="e">
        <f>AND(ZORUNLU!#REF!,"AAAAACobZ1g=")</f>
        <v>#REF!</v>
      </c>
      <c r="CL5" t="e">
        <f>AND(ZORUNLU!#REF!,"AAAAACobZ1k=")</f>
        <v>#REF!</v>
      </c>
      <c r="CM5" t="e">
        <f>AND(ZORUNLU!#REF!,"AAAAACobZ1o=")</f>
        <v>#REF!</v>
      </c>
      <c r="CN5" t="e">
        <f>AND(ZORUNLU!#REF!,"AAAAACobZ1s=")</f>
        <v>#REF!</v>
      </c>
      <c r="CO5" t="e">
        <f>AND(ZORUNLU!#REF!,"AAAAACobZ1w=")</f>
        <v>#REF!</v>
      </c>
      <c r="CP5" t="e">
        <f>AND(ZORUNLU!#REF!,"AAAAACobZ10=")</f>
        <v>#REF!</v>
      </c>
      <c r="CQ5" t="e">
        <f>AND(ZORUNLU!#REF!,"AAAAACobZ14=")</f>
        <v>#REF!</v>
      </c>
      <c r="CR5" t="e">
        <f>AND(ZORUNLU!#REF!,"AAAAACobZ18=")</f>
        <v>#REF!</v>
      </c>
      <c r="CS5" t="e">
        <f>AND(ZORUNLU!#REF!,"AAAAACobZ2A=")</f>
        <v>#REF!</v>
      </c>
      <c r="CT5" t="e">
        <f>AND(ZORUNLU!#REF!,"AAAAACobZ2E=")</f>
        <v>#REF!</v>
      </c>
      <c r="CU5" t="e">
        <f>IF(ZORUNLU!#REF!,"AAAAACobZ2I=",0)</f>
        <v>#REF!</v>
      </c>
      <c r="CV5" t="e">
        <f>AND(ZORUNLU!B58,"AAAAACobZ2M=")</f>
        <v>#VALUE!</v>
      </c>
      <c r="CW5" t="e">
        <f>AND(ZORUNLU!C58,"AAAAACobZ2Q=")</f>
        <v>#VALUE!</v>
      </c>
      <c r="CX5" t="e">
        <f>AND(ZORUNLU!D58,"AAAAACobZ2U=")</f>
        <v>#VALUE!</v>
      </c>
      <c r="CY5" t="e">
        <f>AND(ZORUNLU!E58,"AAAAACobZ2Y=")</f>
        <v>#VALUE!</v>
      </c>
      <c r="CZ5" t="e">
        <f>AND(ZORUNLU!F58,"AAAAACobZ2c=")</f>
        <v>#VALUE!</v>
      </c>
      <c r="DA5" t="e">
        <f>AND(ZORUNLU!G58,"AAAAACobZ2g=")</f>
        <v>#VALUE!</v>
      </c>
      <c r="DB5" t="e">
        <f>IF(ZORUNLU!#REF!,"AAAAACobZ2k=",0)</f>
        <v>#REF!</v>
      </c>
      <c r="DC5" t="e">
        <f>AND(SEÇMELİ!#REF!,"AAAAACobZ2o=")</f>
        <v>#REF!</v>
      </c>
      <c r="DD5" t="e">
        <f>AND(SEÇMELİ!#REF!,"AAAAACobZ2s=")</f>
        <v>#REF!</v>
      </c>
      <c r="DE5" t="e">
        <f>AND(SEÇMELİ!#REF!,"AAAAACobZ2w=")</f>
        <v>#REF!</v>
      </c>
      <c r="DF5" t="e">
        <f>AND(SEÇMELİ!#REF!,"AAAAACobZ20=")</f>
        <v>#REF!</v>
      </c>
      <c r="DG5" t="e">
        <f>AND(SEÇMELİ!#REF!,"AAAAACobZ24=")</f>
        <v>#REF!</v>
      </c>
      <c r="DH5" t="e">
        <f>AND(SEÇMELİ!#REF!,"AAAAACobZ28=")</f>
        <v>#REF!</v>
      </c>
      <c r="DI5" t="e">
        <f>IF(ZORUNLU!#REF!,"AAAAACobZ3A=",0)</f>
        <v>#REF!</v>
      </c>
      <c r="DJ5" t="e">
        <f>AND(SEÇMELİ!#REF!,"AAAAACobZ3E=")</f>
        <v>#REF!</v>
      </c>
      <c r="DK5" t="e">
        <f>AND(SEÇMELİ!#REF!,"AAAAACobZ3I=")</f>
        <v>#REF!</v>
      </c>
      <c r="DL5" t="e">
        <f>AND(SEÇMELİ!#REF!,"AAAAACobZ3M=")</f>
        <v>#REF!</v>
      </c>
      <c r="DM5" t="e">
        <f>AND(SEÇMELİ!#REF!,"AAAAACobZ3Q=")</f>
        <v>#REF!</v>
      </c>
      <c r="DN5" t="e">
        <f>AND(SEÇMELİ!#REF!,"AAAAACobZ3U=")</f>
        <v>#REF!</v>
      </c>
      <c r="DO5" t="e">
        <f>AND(SEÇMELİ!#REF!,"AAAAACobZ3Y=")</f>
        <v>#REF!</v>
      </c>
      <c r="DP5" t="e">
        <f>IF(ZORUNLU!#REF!,"AAAAACobZ3c=",0)</f>
        <v>#REF!</v>
      </c>
      <c r="DQ5" t="e">
        <f>AND(SEÇMELİ!#REF!,"AAAAACobZ3g=")</f>
        <v>#REF!</v>
      </c>
      <c r="DR5" t="e">
        <f>AND(SEÇMELİ!#REF!,"AAAAACobZ3k=")</f>
        <v>#REF!</v>
      </c>
      <c r="DS5" t="e">
        <f>AND(SEÇMELİ!#REF!,"AAAAACobZ3o=")</f>
        <v>#REF!</v>
      </c>
      <c r="DT5" t="e">
        <f>AND(SEÇMELİ!#REF!,"AAAAACobZ3s=")</f>
        <v>#REF!</v>
      </c>
      <c r="DU5" t="e">
        <f>AND(SEÇMELİ!#REF!,"AAAAACobZ3w=")</f>
        <v>#REF!</v>
      </c>
      <c r="DV5" t="e">
        <f>AND(SEÇMELİ!#REF!,"AAAAACobZ30=")</f>
        <v>#REF!</v>
      </c>
      <c r="DW5" t="e">
        <f>IF(ZORUNLU!#REF!,"AAAAACobZ34=",0)</f>
        <v>#REF!</v>
      </c>
      <c r="DX5" t="e">
        <f>AND(ZORUNLU!#REF!,"AAAAACobZ38=")</f>
        <v>#REF!</v>
      </c>
      <c r="DY5" t="e">
        <f>AND(ZORUNLU!#REF!,"AAAAACobZ4A=")</f>
        <v>#REF!</v>
      </c>
      <c r="DZ5" t="e">
        <f>AND(ZORUNLU!#REF!,"AAAAACobZ4E=")</f>
        <v>#REF!</v>
      </c>
      <c r="EA5" t="e">
        <f>AND(ZORUNLU!#REF!,"AAAAACobZ4I=")</f>
        <v>#REF!</v>
      </c>
      <c r="EB5" t="e">
        <f>AND(ZORUNLU!#REF!,"AAAAACobZ4M=")</f>
        <v>#REF!</v>
      </c>
      <c r="EC5" t="e">
        <f>AND(ZORUNLU!#REF!,"AAAAACobZ4Q=")</f>
        <v>#REF!</v>
      </c>
      <c r="ED5">
        <f>IF(ZORUNLU!66:66,"AAAAACobZ4U=",0)</f>
        <v>0</v>
      </c>
      <c r="EE5" t="e">
        <f>AND(ZORUNLU!#REF!,"AAAAACobZ4Y=")</f>
        <v>#REF!</v>
      </c>
      <c r="EF5" t="e">
        <f>AND(ZORUNLU!#REF!,"AAAAACobZ4c=")</f>
        <v>#REF!</v>
      </c>
      <c r="EG5" t="e">
        <f>AND(ZORUNLU!#REF!,"AAAAACobZ4g=")</f>
        <v>#REF!</v>
      </c>
      <c r="EH5" t="e">
        <f>AND(ZORUNLU!#REF!,"AAAAACobZ4k=")</f>
        <v>#REF!</v>
      </c>
      <c r="EI5" t="e">
        <f>AND(ZORUNLU!#REF!,"AAAAACobZ4o=")</f>
        <v>#REF!</v>
      </c>
      <c r="EJ5" t="e">
        <f>AND(ZORUNLU!#REF!,"AAAAACobZ4s=")</f>
        <v>#REF!</v>
      </c>
      <c r="EK5" t="e">
        <f>IF(ZORUNLU!#REF!,"AAAAACobZ4w=",0)</f>
        <v>#REF!</v>
      </c>
      <c r="EL5" t="e">
        <f>AND(ZORUNLU!#REF!,"AAAAACobZ40=")</f>
        <v>#REF!</v>
      </c>
      <c r="EM5" t="e">
        <f>AND(ZORUNLU!#REF!,"AAAAACobZ44=")</f>
        <v>#REF!</v>
      </c>
      <c r="EN5" t="e">
        <f>AND(ZORUNLU!#REF!,"AAAAACobZ48=")</f>
        <v>#REF!</v>
      </c>
      <c r="EO5" t="e">
        <f>AND(ZORUNLU!#REF!,"AAAAACobZ5A=")</f>
        <v>#REF!</v>
      </c>
      <c r="EP5" t="e">
        <f>AND(ZORUNLU!#REF!,"AAAAACobZ5E=")</f>
        <v>#REF!</v>
      </c>
      <c r="EQ5" t="e">
        <f>AND(ZORUNLU!#REF!,"AAAAACobZ5I=")</f>
        <v>#REF!</v>
      </c>
      <c r="ER5" t="e">
        <f>IF(ZORUNLU!#REF!,"AAAAACobZ5M=",0)</f>
        <v>#REF!</v>
      </c>
      <c r="ES5" t="e">
        <f>AND(ZORUNLU!#REF!,"AAAAACobZ5Q=")</f>
        <v>#REF!</v>
      </c>
      <c r="ET5" t="e">
        <f>AND(ZORUNLU!#REF!,"AAAAACobZ5U=")</f>
        <v>#REF!</v>
      </c>
      <c r="EU5" t="e">
        <f>AND(ZORUNLU!#REF!,"AAAAACobZ5Y=")</f>
        <v>#REF!</v>
      </c>
      <c r="EV5" t="e">
        <f>AND(ZORUNLU!#REF!,"AAAAACobZ5c=")</f>
        <v>#REF!</v>
      </c>
      <c r="EW5" t="e">
        <f>AND(ZORUNLU!#REF!,"AAAAACobZ5g=")</f>
        <v>#REF!</v>
      </c>
      <c r="EX5" t="e">
        <f>AND(ZORUNLU!#REF!,"AAAAACobZ5k=")</f>
        <v>#REF!</v>
      </c>
      <c r="EY5">
        <f>IF(ZORUNLU!67:67,"AAAAACobZ5o=",0)</f>
        <v>0</v>
      </c>
      <c r="EZ5" t="e">
        <f>AND(ZORUNLU!#REF!,"AAAAACobZ5s=")</f>
        <v>#REF!</v>
      </c>
      <c r="FA5" t="e">
        <f>AND(ZORUNLU!#REF!,"AAAAACobZ5w=")</f>
        <v>#REF!</v>
      </c>
      <c r="FB5" t="e">
        <f>AND(ZORUNLU!#REF!,"AAAAACobZ50=")</f>
        <v>#REF!</v>
      </c>
      <c r="FC5" t="e">
        <f>AND(ZORUNLU!#REF!,"AAAAACobZ54=")</f>
        <v>#REF!</v>
      </c>
      <c r="FD5" t="e">
        <f>AND(ZORUNLU!#REF!,"AAAAACobZ58=")</f>
        <v>#REF!</v>
      </c>
      <c r="FE5" t="e">
        <f>AND(ZORUNLU!#REF!,"AAAAACobZ6A=")</f>
        <v>#REF!</v>
      </c>
      <c r="FF5" t="e">
        <f>IF(ZORUNLU!#REF!,"AAAAACobZ6E=",0)</f>
        <v>#REF!</v>
      </c>
      <c r="FG5" t="e">
        <f>AND(ZORUNLU!#REF!,"AAAAACobZ6I=")</f>
        <v>#REF!</v>
      </c>
      <c r="FH5" t="e">
        <f>AND(ZORUNLU!#REF!,"AAAAACobZ6M=")</f>
        <v>#REF!</v>
      </c>
      <c r="FI5" t="e">
        <f>AND(ZORUNLU!#REF!,"AAAAACobZ6Q=")</f>
        <v>#REF!</v>
      </c>
      <c r="FJ5" t="e">
        <f>AND(ZORUNLU!#REF!,"AAAAACobZ6U=")</f>
        <v>#REF!</v>
      </c>
      <c r="FK5" t="e">
        <f>AND(ZORUNLU!#REF!,"AAAAACobZ6Y=")</f>
        <v>#REF!</v>
      </c>
      <c r="FL5" t="e">
        <f>AND(ZORUNLU!#REF!,"AAAAACobZ6c=")</f>
        <v>#REF!</v>
      </c>
      <c r="FM5" t="e">
        <f>IF(ZORUNLU!#REF!,"AAAAACobZ6g=",0)</f>
        <v>#REF!</v>
      </c>
      <c r="FN5" t="e">
        <f>AND(ZORUNLU!#REF!,"AAAAACobZ6k=")</f>
        <v>#REF!</v>
      </c>
      <c r="FO5" t="e">
        <f>AND(ZORUNLU!#REF!,"AAAAACobZ6o=")</f>
        <v>#REF!</v>
      </c>
      <c r="FP5" t="e">
        <f>AND(ZORUNLU!#REF!,"AAAAACobZ6s=")</f>
        <v>#REF!</v>
      </c>
      <c r="FQ5" t="e">
        <f>AND(ZORUNLU!#REF!,"AAAAACobZ6w=")</f>
        <v>#REF!</v>
      </c>
      <c r="FR5" t="e">
        <f>AND(ZORUNLU!#REF!,"AAAAACobZ60=")</f>
        <v>#REF!</v>
      </c>
      <c r="FS5" t="e">
        <f>AND(ZORUNLU!#REF!,"AAAAACobZ64=")</f>
        <v>#REF!</v>
      </c>
      <c r="FT5" t="e">
        <f>IF(ZORUNLU!#REF!,"AAAAACobZ68=",0)</f>
        <v>#REF!</v>
      </c>
      <c r="FU5" t="e">
        <f>AND(ZORUNLU!#REF!,"AAAAACobZ7A=")</f>
        <v>#REF!</v>
      </c>
      <c r="FV5" t="e">
        <f>AND(ZORUNLU!#REF!,"AAAAACobZ7E=")</f>
        <v>#REF!</v>
      </c>
      <c r="FW5" t="e">
        <f>AND(ZORUNLU!#REF!,"AAAAACobZ7I=")</f>
        <v>#REF!</v>
      </c>
      <c r="FX5" t="e">
        <f>AND(ZORUNLU!#REF!,"AAAAACobZ7M=")</f>
        <v>#REF!</v>
      </c>
      <c r="FY5" t="e">
        <f>AND(ZORUNLU!#REF!,"AAAAACobZ7Q=")</f>
        <v>#REF!</v>
      </c>
      <c r="FZ5" t="e">
        <f>AND(ZORUNLU!#REF!,"AAAAACobZ7U=")</f>
        <v>#REF!</v>
      </c>
      <c r="GA5" t="e">
        <f>IF(ZORUNLU!#REF!,"AAAAACobZ7Y=",0)</f>
        <v>#REF!</v>
      </c>
      <c r="GB5" t="e">
        <f>AND(ZORUNLU!#REF!,"AAAAACobZ7c=")</f>
        <v>#REF!</v>
      </c>
      <c r="GC5" t="e">
        <f>AND(ZORUNLU!#REF!,"AAAAACobZ7g=")</f>
        <v>#REF!</v>
      </c>
      <c r="GD5" t="e">
        <f>AND(ZORUNLU!#REF!,"AAAAACobZ7k=")</f>
        <v>#REF!</v>
      </c>
      <c r="GE5" t="e">
        <f>AND(ZORUNLU!#REF!,"AAAAACobZ7o=")</f>
        <v>#REF!</v>
      </c>
      <c r="GF5" t="e">
        <f>AND(ZORUNLU!#REF!,"AAAAACobZ7s=")</f>
        <v>#REF!</v>
      </c>
      <c r="GG5" t="e">
        <f>AND(ZORUNLU!#REF!,"AAAAACobZ7w=")</f>
        <v>#REF!</v>
      </c>
      <c r="GH5" t="e">
        <f>IF(ZORUNLU!#REF!,"AAAAACobZ70=",0)</f>
        <v>#REF!</v>
      </c>
      <c r="GI5" t="e">
        <f>AND(ZORUNLU!#REF!,"AAAAACobZ74=")</f>
        <v>#REF!</v>
      </c>
      <c r="GJ5" t="e">
        <f>AND(ZORUNLU!#REF!,"AAAAACobZ78=")</f>
        <v>#REF!</v>
      </c>
      <c r="GK5" t="e">
        <f>AND(ZORUNLU!#REF!,"AAAAACobZ8A=")</f>
        <v>#REF!</v>
      </c>
      <c r="GL5" t="e">
        <f>AND(ZORUNLU!#REF!,"AAAAACobZ8E=")</f>
        <v>#REF!</v>
      </c>
      <c r="GM5" t="e">
        <f>AND(ZORUNLU!#REF!,"AAAAACobZ8I=")</f>
        <v>#REF!</v>
      </c>
      <c r="GN5" t="e">
        <f>AND(ZORUNLU!#REF!,"AAAAACobZ8M=")</f>
        <v>#REF!</v>
      </c>
      <c r="GO5" t="e">
        <f>IF(ZORUNLU!#REF!,"AAAAACobZ8Q=",0)</f>
        <v>#REF!</v>
      </c>
      <c r="GP5" t="e">
        <f>AND(ZORUNLU!#REF!,"AAAAACobZ8U=")</f>
        <v>#REF!</v>
      </c>
      <c r="GQ5" t="e">
        <f>AND(ZORUNLU!#REF!,"AAAAACobZ8Y=")</f>
        <v>#REF!</v>
      </c>
      <c r="GR5" t="e">
        <f>AND(ZORUNLU!#REF!,"AAAAACobZ8c=")</f>
        <v>#REF!</v>
      </c>
      <c r="GS5" t="e">
        <f>AND(ZORUNLU!#REF!,"AAAAACobZ8g=")</f>
        <v>#REF!</v>
      </c>
      <c r="GT5" t="e">
        <f>AND(ZORUNLU!#REF!,"AAAAACobZ8k=")</f>
        <v>#REF!</v>
      </c>
      <c r="GU5" t="e">
        <f>AND(ZORUNLU!#REF!,"AAAAACobZ8o=")</f>
        <v>#REF!</v>
      </c>
      <c r="GV5" t="e">
        <f>IF(ZORUNLU!#REF!,"AAAAACobZ8s=",0)</f>
        <v>#REF!</v>
      </c>
      <c r="GW5" t="e">
        <f>AND(ZORUNLU!#REF!,"AAAAACobZ8w=")</f>
        <v>#REF!</v>
      </c>
      <c r="GX5" t="e">
        <f>AND(ZORUNLU!#REF!,"AAAAACobZ80=")</f>
        <v>#REF!</v>
      </c>
      <c r="GY5" t="e">
        <f>AND(ZORUNLU!#REF!,"AAAAACobZ84=")</f>
        <v>#REF!</v>
      </c>
      <c r="GZ5" t="e">
        <f>AND(ZORUNLU!#REF!,"AAAAACobZ88=")</f>
        <v>#REF!</v>
      </c>
      <c r="HA5" t="e">
        <f>AND(ZORUNLU!#REF!,"AAAAACobZ9A=")</f>
        <v>#REF!</v>
      </c>
      <c r="HB5" t="e">
        <f>AND(ZORUNLU!#REF!,"AAAAACobZ9E=")</f>
        <v>#REF!</v>
      </c>
      <c r="HC5" t="e">
        <f>IF(ZORUNLU!#REF!,"AAAAACobZ9I=",0)</f>
        <v>#REF!</v>
      </c>
      <c r="HD5" t="e">
        <f>AND(SEÇMELİ!#REF!,"AAAAACobZ9M=")</f>
        <v>#REF!</v>
      </c>
      <c r="HE5" t="e">
        <f>AND(SEÇMELİ!#REF!,"AAAAACobZ9Q=")</f>
        <v>#REF!</v>
      </c>
      <c r="HF5" t="e">
        <f>AND(SEÇMELİ!#REF!,"AAAAACobZ9U=")</f>
        <v>#REF!</v>
      </c>
      <c r="HG5" t="e">
        <f>AND(SEÇMELİ!#REF!,"AAAAACobZ9Y=")</f>
        <v>#REF!</v>
      </c>
      <c r="HH5" t="e">
        <f>AND(SEÇMELİ!#REF!,"AAAAACobZ9c=")</f>
        <v>#REF!</v>
      </c>
      <c r="HI5" t="e">
        <f>AND(SEÇMELİ!#REF!,"AAAAACobZ9g=")</f>
        <v>#REF!</v>
      </c>
      <c r="HJ5" t="e">
        <f>IF(ZORUNLU!#REF!,"AAAAACobZ9k=",0)</f>
        <v>#REF!</v>
      </c>
      <c r="HK5" t="e">
        <f>AND(SEÇMELİ!#REF!,"AAAAACobZ9o=")</f>
        <v>#REF!</v>
      </c>
      <c r="HL5" t="e">
        <f>AND(SEÇMELİ!#REF!,"AAAAACobZ9s=")</f>
        <v>#REF!</v>
      </c>
      <c r="HM5" t="e">
        <f>AND(SEÇMELİ!#REF!,"AAAAACobZ9w=")</f>
        <v>#REF!</v>
      </c>
      <c r="HN5" t="e">
        <f>AND(SEÇMELİ!#REF!,"AAAAACobZ90=")</f>
        <v>#REF!</v>
      </c>
      <c r="HO5" t="e">
        <f>AND(SEÇMELİ!#REF!,"AAAAACobZ94=")</f>
        <v>#REF!</v>
      </c>
      <c r="HP5" t="e">
        <f>AND(SEÇMELİ!#REF!,"AAAAACobZ98=")</f>
        <v>#REF!</v>
      </c>
      <c r="HQ5" t="e">
        <f>IF(ZORUNLU!#REF!,"AAAAACobZ+A=",0)</f>
        <v>#REF!</v>
      </c>
      <c r="HR5" t="e">
        <f>AND(SEÇMELİ!#REF!,"AAAAACobZ+E=")</f>
        <v>#REF!</v>
      </c>
      <c r="HS5" t="e">
        <f>AND(SEÇMELİ!#REF!,"AAAAACobZ+I=")</f>
        <v>#REF!</v>
      </c>
      <c r="HT5" t="e">
        <f>AND(SEÇMELİ!#REF!,"AAAAACobZ+M=")</f>
        <v>#REF!</v>
      </c>
      <c r="HU5" t="e">
        <f>AND(SEÇMELİ!#REF!,"AAAAACobZ+Q=")</f>
        <v>#REF!</v>
      </c>
      <c r="HV5" t="e">
        <f>AND(SEÇMELİ!#REF!,"AAAAACobZ+U=")</f>
        <v>#REF!</v>
      </c>
      <c r="HW5" t="e">
        <f>AND(SEÇMELİ!#REF!,"AAAAACobZ+Y=")</f>
        <v>#REF!</v>
      </c>
      <c r="HX5" t="e">
        <f>IF(ZORUNLU!#REF!,"AAAAACobZ+c=",0)</f>
        <v>#REF!</v>
      </c>
      <c r="HY5" t="e">
        <f>AND(SEÇMELİ!#REF!,"AAAAACobZ+g=")</f>
        <v>#REF!</v>
      </c>
      <c r="HZ5" t="e">
        <f>AND(SEÇMELİ!#REF!,"AAAAACobZ+k=")</f>
        <v>#REF!</v>
      </c>
      <c r="IA5" t="e">
        <f>AND(SEÇMELİ!#REF!,"AAAAACobZ+o=")</f>
        <v>#REF!</v>
      </c>
      <c r="IB5" t="e">
        <f>AND(SEÇMELİ!#REF!,"AAAAACobZ+s=")</f>
        <v>#REF!</v>
      </c>
      <c r="IC5" t="e">
        <f>AND(SEÇMELİ!#REF!,"AAAAACobZ+w=")</f>
        <v>#REF!</v>
      </c>
      <c r="ID5" t="e">
        <f>AND(SEÇMELİ!#REF!,"AAAAACobZ+0=")</f>
        <v>#REF!</v>
      </c>
      <c r="IE5" t="e">
        <f>IF(ZORUNLU!#REF!,"AAAAACobZ+4=",0)</f>
        <v>#REF!</v>
      </c>
      <c r="IF5" t="e">
        <f>AND(SEÇMELİ!#REF!,"AAAAACobZ+8=")</f>
        <v>#REF!</v>
      </c>
      <c r="IG5" t="e">
        <f>AND(SEÇMELİ!#REF!,"AAAAACobZ/A=")</f>
        <v>#REF!</v>
      </c>
      <c r="IH5" t="e">
        <f>AND(SEÇMELİ!#REF!,"AAAAACobZ/E=")</f>
        <v>#REF!</v>
      </c>
      <c r="II5" t="e">
        <f>AND(SEÇMELİ!#REF!,"AAAAACobZ/I=")</f>
        <v>#REF!</v>
      </c>
      <c r="IJ5" t="e">
        <f>AND(SEÇMELİ!#REF!,"AAAAACobZ/M=")</f>
        <v>#REF!</v>
      </c>
      <c r="IK5" t="e">
        <f>AND(SEÇMELİ!#REF!,"AAAAACobZ/Q=")</f>
        <v>#REF!</v>
      </c>
      <c r="IL5" t="e">
        <f>IF(ZORUNLU!#REF!,"AAAAACobZ/U=",0)</f>
        <v>#REF!</v>
      </c>
      <c r="IM5" t="e">
        <f>AND(ZORUNLU!#REF!,"AAAAACobZ/Y=")</f>
        <v>#REF!</v>
      </c>
      <c r="IN5" t="e">
        <f>AND(ZORUNLU!#REF!,"AAAAACobZ/c=")</f>
        <v>#REF!</v>
      </c>
      <c r="IO5" t="e">
        <f>AND(ZORUNLU!#REF!,"AAAAACobZ/g=")</f>
        <v>#REF!</v>
      </c>
      <c r="IP5" t="e">
        <f>AND(ZORUNLU!#REF!,"AAAAACobZ/k=")</f>
        <v>#REF!</v>
      </c>
      <c r="IQ5" t="e">
        <f>AND(ZORUNLU!#REF!,"AAAAACobZ/o=")</f>
        <v>#REF!</v>
      </c>
      <c r="IR5" t="e">
        <f>AND(ZORUNLU!#REF!,"AAAAACobZ/s=")</f>
        <v>#REF!</v>
      </c>
      <c r="IS5" t="e">
        <f>IF(ZORUNLU!#REF!,"AAAAACobZ/w=",0)</f>
        <v>#REF!</v>
      </c>
      <c r="IT5" t="e">
        <f>AND(SEÇMELİ!#REF!,"AAAAACobZ/0=")</f>
        <v>#REF!</v>
      </c>
      <c r="IU5" t="e">
        <f>AND(SEÇMELİ!#REF!,"AAAAACobZ/4=")</f>
        <v>#REF!</v>
      </c>
      <c r="IV5" t="e">
        <f>AND(SEÇMELİ!#REF!,"AAAAACobZ/8=")</f>
        <v>#REF!</v>
      </c>
    </row>
    <row r="6" spans="1:256" x14ac:dyDescent="0.25">
      <c r="A6" t="e">
        <f>AND(SEÇMELİ!#REF!,"AAAAAHjffwA=")</f>
        <v>#REF!</v>
      </c>
      <c r="B6" t="e">
        <f>AND(SEÇMELİ!#REF!,"AAAAAHjffwE=")</f>
        <v>#REF!</v>
      </c>
      <c r="C6" t="e">
        <f>AND(SEÇMELİ!#REF!,"AAAAAHjffwI=")</f>
        <v>#REF!</v>
      </c>
      <c r="D6" t="e">
        <f>IF(ZORUNLU!#REF!,"AAAAAHjffwM=",0)</f>
        <v>#REF!</v>
      </c>
      <c r="E6" t="e">
        <f>AND(SEÇMELİ!#REF!,"AAAAAHjffwQ=")</f>
        <v>#REF!</v>
      </c>
      <c r="F6" t="e">
        <f>AND(SEÇMELİ!#REF!,"AAAAAHjffwU=")</f>
        <v>#REF!</v>
      </c>
      <c r="G6" t="e">
        <f>AND(SEÇMELİ!#REF!,"AAAAAHjffwY=")</f>
        <v>#REF!</v>
      </c>
      <c r="H6" t="e">
        <f>AND(SEÇMELİ!#REF!,"AAAAAHjffwc=")</f>
        <v>#REF!</v>
      </c>
      <c r="I6" t="e">
        <f>AND(SEÇMELİ!#REF!,"AAAAAHjffwg=")</f>
        <v>#REF!</v>
      </c>
      <c r="J6" t="e">
        <f>AND(SEÇMELİ!#REF!,"AAAAAHjffwk=")</f>
        <v>#REF!</v>
      </c>
      <c r="K6" t="e">
        <f>IF(ZORUNLU!#REF!,"AAAAAHjffwo=",0)</f>
        <v>#REF!</v>
      </c>
      <c r="L6" t="e">
        <f>AND(SEÇMELİ!#REF!,"AAAAAHjffws=")</f>
        <v>#REF!</v>
      </c>
      <c r="M6" t="e">
        <f>AND(SEÇMELİ!#REF!,"AAAAAHjffww=")</f>
        <v>#REF!</v>
      </c>
      <c r="N6" t="e">
        <f>AND(SEÇMELİ!#REF!,"AAAAAHjffw0=")</f>
        <v>#REF!</v>
      </c>
      <c r="O6" t="e">
        <f>AND(SEÇMELİ!#REF!,"AAAAAHjffw4=")</f>
        <v>#REF!</v>
      </c>
      <c r="P6" t="e">
        <f>AND(SEÇMELİ!#REF!,"AAAAAHjffw8=")</f>
        <v>#REF!</v>
      </c>
      <c r="Q6" t="e">
        <f>AND(SEÇMELİ!#REF!,"AAAAAHjffxA=")</f>
        <v>#REF!</v>
      </c>
      <c r="R6" t="e">
        <f>IF(ZORUNLU!#REF!,"AAAAAHjffxE=",0)</f>
        <v>#REF!</v>
      </c>
      <c r="S6" t="e">
        <f>AND(SEÇMELİ!#REF!,"AAAAAHjffxI=")</f>
        <v>#REF!</v>
      </c>
      <c r="T6" t="e">
        <f>AND(SEÇMELİ!#REF!,"AAAAAHjffxM=")</f>
        <v>#REF!</v>
      </c>
      <c r="U6" t="e">
        <f>AND(SEÇMELİ!#REF!,"AAAAAHjffxQ=")</f>
        <v>#REF!</v>
      </c>
      <c r="V6" t="e">
        <f>AND(SEÇMELİ!#REF!,"AAAAAHjffxU=")</f>
        <v>#REF!</v>
      </c>
      <c r="W6" t="e">
        <f>AND(SEÇMELİ!#REF!,"AAAAAHjffxY=")</f>
        <v>#REF!</v>
      </c>
      <c r="X6" t="e">
        <f>AND(SEÇMELİ!#REF!,"AAAAAHjffxc=")</f>
        <v>#REF!</v>
      </c>
      <c r="Y6" t="e">
        <f>IF(ZORUNLU!#REF!,"AAAAAHjffxg=",0)</f>
        <v>#REF!</v>
      </c>
      <c r="Z6" t="e">
        <f>AND(SEÇMELİ!#REF!,"AAAAAHjffxk=")</f>
        <v>#REF!</v>
      </c>
      <c r="AA6" t="e">
        <f>AND(SEÇMELİ!#REF!,"AAAAAHjffxo=")</f>
        <v>#REF!</v>
      </c>
      <c r="AB6" t="e">
        <f>AND(SEÇMELİ!#REF!,"AAAAAHjffxs=")</f>
        <v>#REF!</v>
      </c>
      <c r="AC6" t="e">
        <f>AND(SEÇMELİ!#REF!,"AAAAAHjffxw=")</f>
        <v>#REF!</v>
      </c>
      <c r="AD6" t="e">
        <f>AND(SEÇMELİ!#REF!,"AAAAAHjffx0=")</f>
        <v>#REF!</v>
      </c>
      <c r="AE6" t="e">
        <f>AND(SEÇMELİ!#REF!,"AAAAAHjffx4=")</f>
        <v>#REF!</v>
      </c>
      <c r="AF6" t="e">
        <f>IF(ZORUNLU!#REF!,"AAAAAHjffx8=",0)</f>
        <v>#REF!</v>
      </c>
      <c r="AG6" t="e">
        <f>AND(SEÇMELİ!#REF!,"AAAAAHjffyA=")</f>
        <v>#REF!</v>
      </c>
      <c r="AH6" t="e">
        <f>AND(SEÇMELİ!#REF!,"AAAAAHjffyE=")</f>
        <v>#REF!</v>
      </c>
      <c r="AI6" t="e">
        <f>AND(SEÇMELİ!#REF!,"AAAAAHjffyI=")</f>
        <v>#REF!</v>
      </c>
      <c r="AJ6" t="e">
        <f>AND(SEÇMELİ!#REF!,"AAAAAHjffyM=")</f>
        <v>#REF!</v>
      </c>
      <c r="AK6" t="e">
        <f>AND(SEÇMELİ!#REF!,"AAAAAHjffyQ=")</f>
        <v>#REF!</v>
      </c>
      <c r="AL6" t="e">
        <f>AND(SEÇMELİ!#REF!,"AAAAAHjffyU=")</f>
        <v>#REF!</v>
      </c>
      <c r="AM6">
        <f>IF(ZORUNLU!68:68,"AAAAAHjffyY=",0)</f>
        <v>0</v>
      </c>
      <c r="AN6" t="e">
        <f>AND(SEÇMELİ!#REF!,"AAAAAHjffyc=")</f>
        <v>#REF!</v>
      </c>
      <c r="AO6" t="e">
        <f>AND(SEÇMELİ!#REF!,"AAAAAHjffyg=")</f>
        <v>#REF!</v>
      </c>
      <c r="AP6" t="e">
        <f>AND(SEÇMELİ!#REF!,"AAAAAHjffyk=")</f>
        <v>#REF!</v>
      </c>
      <c r="AQ6" t="e">
        <f>AND(SEÇMELİ!#REF!,"AAAAAHjffyo=")</f>
        <v>#REF!</v>
      </c>
      <c r="AR6" t="e">
        <f>AND(SEÇMELİ!#REF!,"AAAAAHjffys=")</f>
        <v>#REF!</v>
      </c>
      <c r="AS6" t="e">
        <f>AND(SEÇMELİ!#REF!,"AAAAAHjffyw=")</f>
        <v>#REF!</v>
      </c>
      <c r="AT6">
        <f>IF(ZORUNLU!69:69,"AAAAAHjffy0=",0)</f>
        <v>0</v>
      </c>
      <c r="AU6" t="e">
        <f>AND(SEÇMELİ!#REF!,"AAAAAHjffy4=")</f>
        <v>#REF!</v>
      </c>
      <c r="AV6" t="e">
        <f>AND(SEÇMELİ!#REF!,"AAAAAHjffy8=")</f>
        <v>#REF!</v>
      </c>
      <c r="AW6" t="e">
        <f>AND(SEÇMELİ!#REF!,"AAAAAHjffzA=")</f>
        <v>#REF!</v>
      </c>
      <c r="AX6" t="e">
        <f>AND(SEÇMELİ!#REF!,"AAAAAHjffzE=")</f>
        <v>#REF!</v>
      </c>
      <c r="AY6" t="e">
        <f>AND(SEÇMELİ!#REF!,"AAAAAHjffzI=")</f>
        <v>#REF!</v>
      </c>
      <c r="AZ6" t="e">
        <f>AND(SEÇMELİ!#REF!,"AAAAAHjffzM=")</f>
        <v>#REF!</v>
      </c>
      <c r="BA6" t="e">
        <f>IF(ZORUNLU!#REF!,"AAAAAHjffzQ=",0)</f>
        <v>#REF!</v>
      </c>
      <c r="BB6" t="e">
        <f>AND(SEÇMELİ!#REF!,"AAAAAHjffzU=")</f>
        <v>#REF!</v>
      </c>
      <c r="BC6" t="e">
        <f>AND(SEÇMELİ!#REF!,"AAAAAHjffzY=")</f>
        <v>#REF!</v>
      </c>
      <c r="BD6" t="e">
        <f>AND(SEÇMELİ!#REF!,"AAAAAHjffzc=")</f>
        <v>#REF!</v>
      </c>
      <c r="BE6" t="e">
        <f>AND(SEÇMELİ!#REF!,"AAAAAHjffzg=")</f>
        <v>#REF!</v>
      </c>
      <c r="BF6" t="e">
        <f>AND(SEÇMELİ!#REF!,"AAAAAHjffzk=")</f>
        <v>#REF!</v>
      </c>
      <c r="BG6" t="e">
        <f>AND(SEÇMELİ!#REF!,"AAAAAHjffzo=")</f>
        <v>#REF!</v>
      </c>
      <c r="BH6" t="e">
        <f>IF(ZORUNLU!#REF!,"AAAAAHjffzs=",0)</f>
        <v>#REF!</v>
      </c>
      <c r="BI6" t="e">
        <f>AND(SEÇMELİ!#REF!,"AAAAAHjffzw=")</f>
        <v>#REF!</v>
      </c>
      <c r="BJ6" t="e">
        <f>AND(SEÇMELİ!#REF!,"AAAAAHjffz0=")</f>
        <v>#REF!</v>
      </c>
      <c r="BK6" t="e">
        <f>AND(SEÇMELİ!#REF!,"AAAAAHjffz4=")</f>
        <v>#REF!</v>
      </c>
      <c r="BL6" t="e">
        <f>AND(SEÇMELİ!#REF!,"AAAAAHjffz8=")</f>
        <v>#REF!</v>
      </c>
      <c r="BM6" t="e">
        <f>AND(SEÇMELİ!#REF!,"AAAAAHjff0A=")</f>
        <v>#REF!</v>
      </c>
      <c r="BN6" t="e">
        <f>AND(SEÇMELİ!#REF!,"AAAAAHjff0E=")</f>
        <v>#REF!</v>
      </c>
      <c r="BO6">
        <f>IF(ZORUNLU!71:71,"AAAAAHjff0I=",0)</f>
        <v>0</v>
      </c>
      <c r="BP6" t="e">
        <f>AND(SEÇMELİ!#REF!,"AAAAAHjff0M=")</f>
        <v>#REF!</v>
      </c>
      <c r="BQ6" t="e">
        <f>AND(SEÇMELİ!#REF!,"AAAAAHjff0Q=")</f>
        <v>#REF!</v>
      </c>
      <c r="BR6" t="e">
        <f>AND(SEÇMELİ!#REF!,"AAAAAHjff0U=")</f>
        <v>#REF!</v>
      </c>
      <c r="BS6" t="e">
        <f>AND(SEÇMELİ!#REF!,"AAAAAHjff0Y=")</f>
        <v>#REF!</v>
      </c>
      <c r="BT6" t="e">
        <f>AND(SEÇMELİ!#REF!,"AAAAAHjff0c=")</f>
        <v>#REF!</v>
      </c>
      <c r="BU6" t="e">
        <f>AND(SEÇMELİ!#REF!,"AAAAAHjff0g=")</f>
        <v>#REF!</v>
      </c>
      <c r="BV6">
        <f>IF(ZORUNLU!72:72,"AAAAAHjff0k=",0)</f>
        <v>0</v>
      </c>
      <c r="BW6" t="e">
        <f>AND(SEÇMELİ!#REF!,"AAAAAHjff0o=")</f>
        <v>#REF!</v>
      </c>
      <c r="BX6" t="e">
        <f>AND(SEÇMELİ!#REF!,"AAAAAHjff0s=")</f>
        <v>#REF!</v>
      </c>
      <c r="BY6" t="e">
        <f>AND(SEÇMELİ!#REF!,"AAAAAHjff0w=")</f>
        <v>#REF!</v>
      </c>
      <c r="BZ6" t="e">
        <f>AND(SEÇMELİ!#REF!,"AAAAAHjff00=")</f>
        <v>#REF!</v>
      </c>
      <c r="CA6" t="e">
        <f>AND(SEÇMELİ!#REF!,"AAAAAHjff04=")</f>
        <v>#REF!</v>
      </c>
      <c r="CB6" t="e">
        <f>AND(SEÇMELİ!#REF!,"AAAAAHjff08=")</f>
        <v>#REF!</v>
      </c>
      <c r="CC6">
        <f>IF(ZORUNLU!73:73,"AAAAAHjff1A=",0)</f>
        <v>0</v>
      </c>
      <c r="CD6" t="e">
        <f>AND(SEÇMELİ!#REF!,"AAAAAHjff1E=")</f>
        <v>#REF!</v>
      </c>
      <c r="CE6" t="e">
        <f>AND(SEÇMELİ!#REF!,"AAAAAHjff1I=")</f>
        <v>#REF!</v>
      </c>
      <c r="CF6" t="e">
        <f>AND(SEÇMELİ!#REF!,"AAAAAHjff1M=")</f>
        <v>#REF!</v>
      </c>
      <c r="CG6" t="e">
        <f>AND(SEÇMELİ!#REF!,"AAAAAHjff1Q=")</f>
        <v>#REF!</v>
      </c>
      <c r="CH6" t="e">
        <f>AND(SEÇMELİ!#REF!,"AAAAAHjff1U=")</f>
        <v>#REF!</v>
      </c>
      <c r="CI6" t="e">
        <f>AND(SEÇMELİ!#REF!,"AAAAAHjff1Y=")</f>
        <v>#REF!</v>
      </c>
      <c r="CJ6" t="e">
        <f>IF(ZORUNLU!#REF!,"AAAAAHjff1c=",0)</f>
        <v>#REF!</v>
      </c>
      <c r="CK6" t="e">
        <f>AND(SEÇMELİ!#REF!,"AAAAAHjff1g=")</f>
        <v>#REF!</v>
      </c>
      <c r="CL6" t="e">
        <f>AND(SEÇMELİ!#REF!,"AAAAAHjff1k=")</f>
        <v>#REF!</v>
      </c>
      <c r="CM6" t="e">
        <f>AND(SEÇMELİ!#REF!,"AAAAAHjff1o=")</f>
        <v>#REF!</v>
      </c>
      <c r="CN6" t="e">
        <f>AND(SEÇMELİ!#REF!,"AAAAAHjff1s=")</f>
        <v>#REF!</v>
      </c>
      <c r="CO6" t="e">
        <f>AND(SEÇMELİ!#REF!,"AAAAAHjff1w=")</f>
        <v>#REF!</v>
      </c>
      <c r="CP6" t="e">
        <f>AND(SEÇMELİ!#REF!,"AAAAAHjff10=")</f>
        <v>#REF!</v>
      </c>
      <c r="CQ6">
        <f>IF(ZORUNLU!74:74,"AAAAAHjff14=",0)</f>
        <v>0</v>
      </c>
      <c r="CR6" t="e">
        <f>AND(ZORUNLU!#REF!,"AAAAAHjff18=")</f>
        <v>#REF!</v>
      </c>
      <c r="CS6" t="e">
        <f>AND(ZORUNLU!#REF!,"AAAAAHjff2A=")</f>
        <v>#REF!</v>
      </c>
      <c r="CT6" t="e">
        <f>AND(ZORUNLU!#REF!,"AAAAAHjff2E=")</f>
        <v>#REF!</v>
      </c>
      <c r="CU6" t="e">
        <f>AND(ZORUNLU!#REF!,"AAAAAHjff2I=")</f>
        <v>#REF!</v>
      </c>
      <c r="CV6" t="e">
        <f>AND(ZORUNLU!#REF!,"AAAAAHjff2M=")</f>
        <v>#REF!</v>
      </c>
      <c r="CW6" t="e">
        <f>AND(ZORUNLU!#REF!,"AAAAAHjff2Q=")</f>
        <v>#REF!</v>
      </c>
      <c r="CX6">
        <f>IF(ZORUNLU!75:75,"AAAAAHjff2U=",0)</f>
        <v>0</v>
      </c>
      <c r="CY6" t="e">
        <f>AND(SEÇMELİ!#REF!,"AAAAAHjff2Y=")</f>
        <v>#REF!</v>
      </c>
      <c r="CZ6" t="e">
        <f>AND(SEÇMELİ!#REF!,"AAAAAHjff2c=")</f>
        <v>#REF!</v>
      </c>
      <c r="DA6" t="e">
        <f>AND(SEÇMELİ!#REF!,"AAAAAHjff2g=")</f>
        <v>#REF!</v>
      </c>
      <c r="DB6" t="e">
        <f>AND(SEÇMELİ!#REF!,"AAAAAHjff2k=")</f>
        <v>#REF!</v>
      </c>
      <c r="DC6" t="e">
        <f>AND(SEÇMELİ!#REF!,"AAAAAHjff2o=")</f>
        <v>#REF!</v>
      </c>
      <c r="DD6" t="e">
        <f>AND(SEÇMELİ!#REF!,"AAAAAHjff2s=")</f>
        <v>#REF!</v>
      </c>
      <c r="DE6">
        <f>IF(ZORUNLU!76:76,"AAAAAHjff2w=",0)</f>
        <v>0</v>
      </c>
      <c r="DF6" t="e">
        <f>AND(SEÇMELİ!#REF!,"AAAAAHjff20=")</f>
        <v>#REF!</v>
      </c>
      <c r="DG6" t="e">
        <f>AND(SEÇMELİ!#REF!,"AAAAAHjff24=")</f>
        <v>#REF!</v>
      </c>
      <c r="DH6" t="e">
        <f>AND(SEÇMELİ!#REF!,"AAAAAHjff28=")</f>
        <v>#REF!</v>
      </c>
      <c r="DI6" t="e">
        <f>AND(SEÇMELİ!#REF!,"AAAAAHjff3A=")</f>
        <v>#REF!</v>
      </c>
      <c r="DJ6" t="e">
        <f>AND(SEÇMELİ!#REF!,"AAAAAHjff3E=")</f>
        <v>#REF!</v>
      </c>
      <c r="DK6" t="e">
        <f>AND(SEÇMELİ!#REF!,"AAAAAHjff3I=")</f>
        <v>#REF!</v>
      </c>
      <c r="DL6">
        <f>IF(ZORUNLU!77:77,"AAAAAHjff3M=",0)</f>
        <v>0</v>
      </c>
      <c r="DM6" t="e">
        <f>AND(SEÇMELİ!#REF!,"AAAAAHjff3Q=")</f>
        <v>#REF!</v>
      </c>
      <c r="DN6" t="e">
        <f>AND(SEÇMELİ!#REF!,"AAAAAHjff3U=")</f>
        <v>#REF!</v>
      </c>
      <c r="DO6" t="e">
        <f>AND(SEÇMELİ!#REF!,"AAAAAHjff3Y=")</f>
        <v>#REF!</v>
      </c>
      <c r="DP6" t="e">
        <f>AND(SEÇMELİ!#REF!,"AAAAAHjff3c=")</f>
        <v>#REF!</v>
      </c>
      <c r="DQ6" t="e">
        <f>AND(SEÇMELİ!#REF!,"AAAAAHjff3g=")</f>
        <v>#REF!</v>
      </c>
      <c r="DR6" t="e">
        <f>AND(SEÇMELİ!#REF!,"AAAAAHjff3k=")</f>
        <v>#REF!</v>
      </c>
      <c r="DS6">
        <f>IF(ZORUNLU!78:78,"AAAAAHjff3o=",0)</f>
        <v>0</v>
      </c>
      <c r="DT6" t="e">
        <f>AND(SEÇMELİ!#REF!,"AAAAAHjff3s=")</f>
        <v>#REF!</v>
      </c>
      <c r="DU6" t="e">
        <f>AND(SEÇMELİ!#REF!,"AAAAAHjff3w=")</f>
        <v>#REF!</v>
      </c>
      <c r="DV6" t="e">
        <f>AND(SEÇMELİ!#REF!,"AAAAAHjff30=")</f>
        <v>#REF!</v>
      </c>
      <c r="DW6" t="e">
        <f>AND(SEÇMELİ!#REF!,"AAAAAHjff34=")</f>
        <v>#REF!</v>
      </c>
      <c r="DX6" t="e">
        <f>AND(SEÇMELİ!#REF!,"AAAAAHjff38=")</f>
        <v>#REF!</v>
      </c>
      <c r="DY6" t="e">
        <f>AND(SEÇMELİ!#REF!,"AAAAAHjff4A=")</f>
        <v>#REF!</v>
      </c>
      <c r="DZ6">
        <f>IF(ZORUNLU!79:79,"AAAAAHjff4E=",0)</f>
        <v>0</v>
      </c>
      <c r="EA6" t="e">
        <f>AND(SEÇMELİ!#REF!,"AAAAAHjff4I=")</f>
        <v>#REF!</v>
      </c>
      <c r="EB6" t="e">
        <f>AND(SEÇMELİ!#REF!,"AAAAAHjff4M=")</f>
        <v>#REF!</v>
      </c>
      <c r="EC6" t="e">
        <f>AND(SEÇMELİ!#REF!,"AAAAAHjff4Q=")</f>
        <v>#REF!</v>
      </c>
      <c r="ED6" t="e">
        <f>AND(SEÇMELİ!#REF!,"AAAAAHjff4U=")</f>
        <v>#REF!</v>
      </c>
      <c r="EE6" t="e">
        <f>AND(SEÇMELİ!#REF!,"AAAAAHjff4Y=")</f>
        <v>#REF!</v>
      </c>
      <c r="EF6" t="e">
        <f>AND(SEÇMELİ!#REF!,"AAAAAHjff4c=")</f>
        <v>#REF!</v>
      </c>
      <c r="EG6">
        <f>IF(ZORUNLU!80:80,"AAAAAHjff4g=",0)</f>
        <v>0</v>
      </c>
      <c r="EH6" t="e">
        <f>AND(SEÇMELİ!#REF!,"AAAAAHjff4k=")</f>
        <v>#REF!</v>
      </c>
      <c r="EI6" t="e">
        <f>AND(SEÇMELİ!#REF!,"AAAAAHjff4o=")</f>
        <v>#REF!</v>
      </c>
      <c r="EJ6" t="e">
        <f>AND(SEÇMELİ!#REF!,"AAAAAHjff4s=")</f>
        <v>#REF!</v>
      </c>
      <c r="EK6" t="e">
        <f>AND(SEÇMELİ!#REF!,"AAAAAHjff4w=")</f>
        <v>#REF!</v>
      </c>
      <c r="EL6" t="e">
        <f>AND(SEÇMELİ!#REF!,"AAAAAHjff40=")</f>
        <v>#REF!</v>
      </c>
      <c r="EM6" t="e">
        <f>AND(SEÇMELİ!#REF!,"AAAAAHjff44=")</f>
        <v>#REF!</v>
      </c>
      <c r="EN6">
        <f>IF(ZORUNLU!81:81,"AAAAAHjff48=",0)</f>
        <v>0</v>
      </c>
      <c r="EO6" t="e">
        <f>AND(SEÇMELİ!#REF!,"AAAAAHjff5A=")</f>
        <v>#REF!</v>
      </c>
      <c r="EP6" t="e">
        <f>AND(SEÇMELİ!#REF!,"AAAAAHjff5E=")</f>
        <v>#REF!</v>
      </c>
      <c r="EQ6" t="e">
        <f>AND(SEÇMELİ!#REF!,"AAAAAHjff5I=")</f>
        <v>#REF!</v>
      </c>
      <c r="ER6" t="e">
        <f>AND(SEÇMELİ!#REF!,"AAAAAHjff5M=")</f>
        <v>#REF!</v>
      </c>
      <c r="ES6" t="e">
        <f>AND(SEÇMELİ!#REF!,"AAAAAHjff5Q=")</f>
        <v>#REF!</v>
      </c>
      <c r="ET6" t="e">
        <f>AND(SEÇMELİ!#REF!,"AAAAAHjff5U=")</f>
        <v>#REF!</v>
      </c>
      <c r="EU6">
        <f>IF(ZORUNLU!82:82,"AAAAAHjff5Y=",0)</f>
        <v>0</v>
      </c>
      <c r="EV6" t="e">
        <f>AND(SEÇMELİ!#REF!,"AAAAAHjff5c=")</f>
        <v>#REF!</v>
      </c>
      <c r="EW6" t="e">
        <f>AND(SEÇMELİ!#REF!,"AAAAAHjff5g=")</f>
        <v>#REF!</v>
      </c>
      <c r="EX6" t="e">
        <f>AND(SEÇMELİ!#REF!,"AAAAAHjff5k=")</f>
        <v>#REF!</v>
      </c>
      <c r="EY6" t="e">
        <f>AND(SEÇMELİ!#REF!,"AAAAAHjff5o=")</f>
        <v>#REF!</v>
      </c>
      <c r="EZ6" t="e">
        <f>AND(SEÇMELİ!#REF!,"AAAAAHjff5s=")</f>
        <v>#REF!</v>
      </c>
      <c r="FA6" t="e">
        <f>AND(SEÇMELİ!#REF!,"AAAAAHjff5w=")</f>
        <v>#REF!</v>
      </c>
      <c r="FB6">
        <f>IF(ZORUNLU!83:83,"AAAAAHjff50=",0)</f>
        <v>0</v>
      </c>
      <c r="FC6" t="e">
        <f>AND(SEÇMELİ!#REF!,"AAAAAHjff54=")</f>
        <v>#REF!</v>
      </c>
      <c r="FD6" t="e">
        <f>AND(SEÇMELİ!#REF!,"AAAAAHjff58=")</f>
        <v>#REF!</v>
      </c>
      <c r="FE6" t="e">
        <f>AND(SEÇMELİ!#REF!,"AAAAAHjff6A=")</f>
        <v>#REF!</v>
      </c>
      <c r="FF6" t="e">
        <f>AND(SEÇMELİ!#REF!,"AAAAAHjff6E=")</f>
        <v>#REF!</v>
      </c>
      <c r="FG6" t="e">
        <f>AND(SEÇMELİ!#REF!,"AAAAAHjff6I=")</f>
        <v>#REF!</v>
      </c>
      <c r="FH6" t="e">
        <f>AND(SEÇMELİ!#REF!,"AAAAAHjff6M=")</f>
        <v>#REF!</v>
      </c>
      <c r="FI6" t="e">
        <f>IF(ZORUNLU!B:B,"AAAAAHjff6Q=",0)</f>
        <v>#VALUE!</v>
      </c>
      <c r="FJ6">
        <f>IF(ZORUNLU!C:C,"AAAAAHjff6U=",0)</f>
        <v>0</v>
      </c>
      <c r="FK6">
        <f>IF(ZORUNLU!D:D,"AAAAAHjff6Y=",0)</f>
        <v>0</v>
      </c>
      <c r="FL6">
        <f>IF(ZORUNLU!E:E,"AAAAAHjff6c=",0)</f>
        <v>0</v>
      </c>
      <c r="FM6">
        <f>IF(ZORUNLU!F:F,"AAAAAHjff6g=",0)</f>
        <v>0</v>
      </c>
      <c r="FN6">
        <f>IF(ZORUNLU!G:G,"AAAAAHjff6k=",0)</f>
        <v>0</v>
      </c>
      <c r="FO6">
        <f>IF(ZORUNLU!H:H,"AAAAAHjff6o=",0)</f>
        <v>0</v>
      </c>
      <c r="FP6">
        <f>IF(ZORUNLU!I:I,"AAAAAHjff6s=",0)</f>
        <v>0</v>
      </c>
      <c r="FQ6">
        <f>IF(ZORUNLU!J:J,"AAAAAHjff6w=",0)</f>
        <v>0</v>
      </c>
      <c r="FR6">
        <f>IF(ZORUNLU!K:K,"AAAAAHjff60=",0)</f>
        <v>0</v>
      </c>
      <c r="FS6">
        <f>IF(ZORUNLU!L:L,"AAAAAHjff64=",0)</f>
        <v>0</v>
      </c>
      <c r="FT6">
        <f>IF(ZORUNLU!M:M,"AAAAAHjff68=",0)</f>
        <v>0</v>
      </c>
      <c r="FU6">
        <f>IF(ZORUNLU!N:N,"AAAAAHjff7A=",0)</f>
        <v>0</v>
      </c>
      <c r="FV6">
        <f>IF(ZORUNLU!O:O,"AAAAAHjff7E=",0)</f>
        <v>0</v>
      </c>
      <c r="FW6">
        <f>IF(ZORUNLU!P:P,"AAAAAHjff7I=",0)</f>
        <v>0</v>
      </c>
      <c r="FX6">
        <f>IF(ZORUNLU!Q:Q,"AAAAAHjff7M=",0)</f>
        <v>0</v>
      </c>
      <c r="FY6">
        <f>IF(ZORUNLU!R:R,"AAAAAHjff7Q=",0)</f>
        <v>0</v>
      </c>
      <c r="FZ6">
        <f>IF(ZORUNLU!S:S,"AAAAAHjff7U=",0)</f>
        <v>0</v>
      </c>
      <c r="GA6">
        <f>IF(ZORUNLU!T:T,"AAAAAHjff7Y=",0)</f>
        <v>0</v>
      </c>
      <c r="GB6">
        <f>IF(ZORUNLU!U:U,"AAAAAHjff7c=",0)</f>
        <v>0</v>
      </c>
      <c r="GC6">
        <f>IF(ZORUNLU!V:V,"AAAAAHjff7g=",0)</f>
        <v>0</v>
      </c>
      <c r="GD6" t="s">
        <v>4</v>
      </c>
      <c r="GE6" t="e">
        <f>IF("N",ZORUNLU!_xlnm.Print_Area,"AAAAAHjff7o=")</f>
        <v>#VALUE!</v>
      </c>
    </row>
    <row r="7" spans="1:256" x14ac:dyDescent="0.25">
      <c r="A7" t="e">
        <f>AND(ZORUNLU!#REF!,"AAAAAHvvhwA=")</f>
        <v>#REF!</v>
      </c>
      <c r="B7" t="e">
        <f>AND(ZORUNLU!#REF!,"AAAAAHvvhwE=")</f>
        <v>#REF!</v>
      </c>
      <c r="C7" t="e">
        <f>AND(ZORUNLU!#REF!,"AAAAAHvvhwI=")</f>
        <v>#REF!</v>
      </c>
      <c r="D7" t="e">
        <f>AND(ZORUNLU!#REF!,"AAAAAHvvhwM=")</f>
        <v>#REF!</v>
      </c>
      <c r="E7" t="e">
        <f>AND(ZORUNLU!#REF!,"AAAAAHvvhwQ=")</f>
        <v>#REF!</v>
      </c>
      <c r="F7" t="e">
        <f>AND(ZORUNLU!#REF!,"AAAAAHvvhwU=")</f>
        <v>#REF!</v>
      </c>
      <c r="G7" t="e">
        <f>AND(ZORUNLU!#REF!,"AAAAAHvvhwY=")</f>
        <v>#REF!</v>
      </c>
      <c r="H7" t="e">
        <f>AND(ZORUNLU!#REF!,"AAAAAHvvhwc=")</f>
        <v>#REF!</v>
      </c>
      <c r="I7" t="e">
        <f>AND(ZORUNLU!#REF!,"AAAAAHvvhwg=")</f>
        <v>#REF!</v>
      </c>
      <c r="J7" t="e">
        <f>AND(ZORUNLU!#REF!,"AAAAAHvvhwk=")</f>
        <v>#REF!</v>
      </c>
      <c r="K7" t="e">
        <f>AND(ZORUNLU!#REF!,"AAAAAHvvhwo=")</f>
        <v>#REF!</v>
      </c>
      <c r="L7" t="e">
        <f>AND(ZORUNLU!#REF!,"AAAAAHvvhws=")</f>
        <v>#REF!</v>
      </c>
      <c r="M7" t="e">
        <f>AND(ZORUNLU!#REF!,"AAAAAHvvhww=")</f>
        <v>#REF!</v>
      </c>
      <c r="N7" t="e">
        <f>AND(ZORUNLU!#REF!,"AAAAAHvvhw0=")</f>
        <v>#REF!</v>
      </c>
      <c r="O7" t="e">
        <f>AND(ZORUNLU!#REF!,"AAAAAHvvhw4=")</f>
        <v>#REF!</v>
      </c>
      <c r="P7" t="e">
        <f>AND(ZORUNLU!#REF!,"AAAAAHvvhw8=")</f>
        <v>#REF!</v>
      </c>
      <c r="Q7" t="e">
        <f>AND(ZORUNLU!#REF!,"AAAAAHvvhxA=")</f>
        <v>#REF!</v>
      </c>
      <c r="R7" t="e">
        <f>AND(ZORUNLU!#REF!,"AAAAAHvvhxE=")</f>
        <v>#REF!</v>
      </c>
      <c r="S7" t="e">
        <f>AND(ZORUNLU!#REF!,"AAAAAHvvhxI=")</f>
        <v>#REF!</v>
      </c>
      <c r="T7" t="e">
        <f>AND(ZORUNLU!#REF!,"AAAAAHvvhxM=")</f>
        <v>#REF!</v>
      </c>
      <c r="U7" t="e">
        <f>AND(ZORUNLU!#REF!,"AAAAAHvvhxQ=")</f>
        <v>#REF!</v>
      </c>
      <c r="V7" t="e">
        <f>AND(ZORUNLU!#REF!,"AAAAAHvvhxU=")</f>
        <v>#REF!</v>
      </c>
      <c r="W7" t="e">
        <f>AND(ZORUNLU!#REF!,"AAAAAHvvhxY=")</f>
        <v>#REF!</v>
      </c>
      <c r="X7" t="e">
        <f>AND(ZORUNLU!#REF!,"AAAAAHvvhxc=")</f>
        <v>#REF!</v>
      </c>
      <c r="Y7" t="e">
        <f>AND(ZORUNLU!#REF!,"AAAAAHvvhxg=")</f>
        <v>#REF!</v>
      </c>
      <c r="Z7" t="e">
        <f>AND(ZORUNLU!#REF!,"AAAAAHvvhxk=")</f>
        <v>#REF!</v>
      </c>
      <c r="AA7" t="e">
        <f>AND(ZORUNLU!#REF!,"AAAAAHvvhxo=")</f>
        <v>#REF!</v>
      </c>
      <c r="AB7" t="e">
        <f>AND(ZORUNLU!#REF!,"AAAAAHvvhxs=")</f>
        <v>#REF!</v>
      </c>
      <c r="AC7" t="e">
        <f>AND(ZORUNLU!#REF!,"AAAAAHvvhxw=")</f>
        <v>#REF!</v>
      </c>
      <c r="AD7" t="e">
        <f>AND(ZORUNLU!#REF!,"AAAAAHvvhx0=")</f>
        <v>#REF!</v>
      </c>
      <c r="AE7" t="e">
        <f>AND(ZORUNLU!#REF!,"AAAAAHvvhx4=")</f>
        <v>#REF!</v>
      </c>
      <c r="AF7" t="e">
        <f>AND(ZORUNLU!#REF!,"AAAAAHvvhx8=")</f>
        <v>#REF!</v>
      </c>
      <c r="AG7" t="e">
        <f>AND(ZORUNLU!#REF!,"AAAAAHvvhyA=")</f>
        <v>#REF!</v>
      </c>
      <c r="AH7" t="e">
        <f>AND(ZORUNLU!#REF!,"AAAAAHvvhyE=")</f>
        <v>#REF!</v>
      </c>
      <c r="AI7" t="e">
        <f>AND(ZORUNLU!#REF!,"AAAAAHvvhyI=")</f>
        <v>#REF!</v>
      </c>
      <c r="AJ7" t="e">
        <f>AND(ZORUNLU!#REF!,"AAAAAHvvhyM=")</f>
        <v>#REF!</v>
      </c>
      <c r="AK7" t="e">
        <f>AND(ZORUNLU!#REF!,"AAAAAHvvhyQ=")</f>
        <v>#REF!</v>
      </c>
      <c r="AL7" t="e">
        <f>AND(ZORUNLU!#REF!,"AAAAAHvvhyU=")</f>
        <v>#REF!</v>
      </c>
      <c r="AM7" t="e">
        <f>AND(ZORUNLU!#REF!,"AAAAAHvvhyY=")</f>
        <v>#REF!</v>
      </c>
      <c r="AN7" t="e">
        <f>AND(ZORUNLU!#REF!,"AAAAAHvvhyc=")</f>
        <v>#REF!</v>
      </c>
      <c r="AO7" t="e">
        <f>AND(ZORUNLU!#REF!,"AAAAAHvvhyg=")</f>
        <v>#REF!</v>
      </c>
      <c r="AP7" t="e">
        <f>AND(ZORUNLU!#REF!,"AAAAAHvvhyk=")</f>
        <v>#REF!</v>
      </c>
      <c r="AQ7" t="e">
        <f>AND(ZORUNLU!#REF!,"AAAAAHvvhyo=")</f>
        <v>#REF!</v>
      </c>
      <c r="AR7" t="e">
        <f>AND(ZORUNLU!#REF!,"AAAAAHvvhys=")</f>
        <v>#REF!</v>
      </c>
      <c r="AS7" t="e">
        <f>AND(ZORUNLU!#REF!,"AAAAAHvvhyw=")</f>
        <v>#REF!</v>
      </c>
      <c r="AT7" t="e">
        <f>AND(ZORUNLU!#REF!,"AAAAAHvvhy0=")</f>
        <v>#REF!</v>
      </c>
      <c r="AU7" t="e">
        <f>AND(ZORUNLU!#REF!,"AAAAAHvvhy4=")</f>
        <v>#REF!</v>
      </c>
      <c r="AV7" t="e">
        <f>AND(ZORUNLU!#REF!,"AAAAAHvvhy8=")</f>
        <v>#REF!</v>
      </c>
      <c r="AW7" t="e">
        <f>AND(ZORUNLU!#REF!,"AAAAAHvvhzA=")</f>
        <v>#REF!</v>
      </c>
      <c r="AX7" t="e">
        <f>AND(ZORUNLU!#REF!,"AAAAAHvvhzE=")</f>
        <v>#REF!</v>
      </c>
      <c r="AY7" t="e">
        <f>AND(ZORUNLU!#REF!,"AAAAAHvvhzI=")</f>
        <v>#REF!</v>
      </c>
      <c r="AZ7" t="e">
        <f>AND(ZORUNLU!#REF!,"AAAAAHvvhzM=")</f>
        <v>#REF!</v>
      </c>
      <c r="BA7" t="e">
        <f>AND(ZORUNLU!#REF!,"AAAAAHvvhzQ=")</f>
        <v>#REF!</v>
      </c>
      <c r="BB7" t="e">
        <f>AND(ZORUNLU!#REF!,"AAAAAHvvhzU=")</f>
        <v>#REF!</v>
      </c>
      <c r="BC7" t="e">
        <f>AND(ZORUNLU!#REF!,"AAAAAHvvhzY=")</f>
        <v>#REF!</v>
      </c>
      <c r="BD7" t="e">
        <f>AND(ZORUNLU!#REF!,"AAAAAHvvhzc=")</f>
        <v>#REF!</v>
      </c>
      <c r="BE7" t="e">
        <f>AND(ZORUNLU!#REF!,"AAAAAHvvhzg=")</f>
        <v>#REF!</v>
      </c>
      <c r="BF7" t="e">
        <f>AND(ZORUNLU!#REF!,"AAAAAHvvhzk=")</f>
        <v>#REF!</v>
      </c>
      <c r="BG7" t="e">
        <f>AND(ZORUNLU!#REF!,"AAAAAHvvhzo=")</f>
        <v>#REF!</v>
      </c>
      <c r="BH7" t="e">
        <f>AND(ZORUNLU!#REF!,"AAAAAHvvhzs=")</f>
        <v>#REF!</v>
      </c>
      <c r="BI7" t="e">
        <f>AND(ZORUNLU!#REF!,"AAAAAHvvhzw=")</f>
        <v>#REF!</v>
      </c>
      <c r="BJ7" t="e">
        <f>AND(ZORUNLU!#REF!,"AAAAAHvvhz0=")</f>
        <v>#REF!</v>
      </c>
      <c r="BK7" t="e">
        <f>AND(ZORUNLU!#REF!,"AAAAAHvvhz4=")</f>
        <v>#REF!</v>
      </c>
      <c r="BL7" t="e">
        <f>AND(ZORUNLU!#REF!,"AAAAAHvvhz8=")</f>
        <v>#REF!</v>
      </c>
      <c r="BM7" t="e">
        <f>AND(ZORUNLU!#REF!,"AAAAAHvvh0A=")</f>
        <v>#REF!</v>
      </c>
      <c r="BN7" t="e">
        <f>AND(ZORUNLU!#REF!,"AAAAAHvvh0E=")</f>
        <v>#REF!</v>
      </c>
      <c r="BO7" t="e">
        <f>AND(ZORUNLU!#REF!,"AAAAAHvvh0I=")</f>
        <v>#REF!</v>
      </c>
      <c r="BP7" t="e">
        <f>AND(ZORUNLU!#REF!,"AAAAAHvvh0M=")</f>
        <v>#REF!</v>
      </c>
      <c r="BQ7" t="e">
        <f>AND(ZORUNLU!#REF!,"AAAAAHvvh0Q=")</f>
        <v>#REF!</v>
      </c>
      <c r="BR7" t="e">
        <f>AND(ZORUNLU!#REF!,"AAAAAHvvh0U=")</f>
        <v>#REF!</v>
      </c>
      <c r="BS7" t="e">
        <f>AND(ZORUNLU!#REF!,"AAAAAHvvh0Y=")</f>
        <v>#REF!</v>
      </c>
      <c r="BT7" t="e">
        <f>AND(ZORUNLU!#REF!,"AAAAAHvvh0c=")</f>
        <v>#REF!</v>
      </c>
      <c r="BU7" t="e">
        <f>AND(ZORUNLU!#REF!,"AAAAAHvvh0g=")</f>
        <v>#REF!</v>
      </c>
      <c r="BV7" t="e">
        <f>AND(ZORUNLU!#REF!,"AAAAAHvvh0k=")</f>
        <v>#REF!</v>
      </c>
      <c r="BW7" t="e">
        <f>AND(ZORUNLU!#REF!,"AAAAAHvvh0o=")</f>
        <v>#REF!</v>
      </c>
      <c r="BX7" t="e">
        <f>AND(ZORUNLU!#REF!,"AAAAAHvvh0s=")</f>
        <v>#REF!</v>
      </c>
      <c r="BY7" t="e">
        <f>AND(ZORUNLU!#REF!,"AAAAAHvvh0w=")</f>
        <v>#REF!</v>
      </c>
      <c r="BZ7" t="e">
        <f>AND(ZORUNLU!#REF!,"AAAAAHvvh00=")</f>
        <v>#REF!</v>
      </c>
      <c r="CA7" t="e">
        <f>AND(ZORUNLU!#REF!,"AAAAAHvvh04=")</f>
        <v>#REF!</v>
      </c>
      <c r="CB7" t="e">
        <f>AND(ZORUNLU!#REF!,"AAAAAHvvh08=")</f>
        <v>#REF!</v>
      </c>
      <c r="CC7" t="e">
        <f>AND(ZORUNLU!#REF!,"AAAAAHvvh1A=")</f>
        <v>#REF!</v>
      </c>
      <c r="CD7" t="e">
        <f>AND(ZORUNLU!#REF!,"AAAAAHvvh1E=")</f>
        <v>#REF!</v>
      </c>
      <c r="CE7" t="e">
        <f>AND(ZORUNLU!#REF!,"AAAAAHvvh1I=")</f>
        <v>#REF!</v>
      </c>
      <c r="CF7" t="e">
        <f>AND(ZORUNLU!#REF!,"AAAAAHvvh1M=")</f>
        <v>#REF!</v>
      </c>
      <c r="CG7" t="e">
        <f>AND(ZORUNLU!#REF!,"AAAAAHvvh1Q=")</f>
        <v>#REF!</v>
      </c>
      <c r="CH7" t="e">
        <f>AND(ZORUNLU!#REF!,"AAAAAHvvh1U=")</f>
        <v>#REF!</v>
      </c>
      <c r="CI7" t="e">
        <f>AND(ZORUNLU!#REF!,"AAAAAHvvh1Y=")</f>
        <v>#REF!</v>
      </c>
      <c r="CJ7" t="e">
        <f>AND(ZORUNLU!#REF!,"AAAAAHvvh1c=")</f>
        <v>#REF!</v>
      </c>
      <c r="CK7" t="e">
        <f>AND(ZORUNLU!#REF!,"AAAAAHvvh1g=")</f>
        <v>#REF!</v>
      </c>
      <c r="CL7" t="e">
        <f>AND(ZORUNLU!#REF!,"AAAAAHvvh1k=")</f>
        <v>#REF!</v>
      </c>
      <c r="CM7" t="e">
        <f>AND(ZORUNLU!#REF!,"AAAAAHvvh1o=")</f>
        <v>#REF!</v>
      </c>
      <c r="CN7" t="e">
        <f>AND(ZORUNLU!#REF!,"AAAAAHvvh1s=")</f>
        <v>#REF!</v>
      </c>
      <c r="CO7" t="e">
        <f>AND(ZORUNLU!#REF!,"AAAAAHvvh1w=")</f>
        <v>#REF!</v>
      </c>
      <c r="CP7" t="e">
        <f>AND(ZORUNLU!#REF!,"AAAAAHvvh10=")</f>
        <v>#REF!</v>
      </c>
      <c r="CQ7" t="e">
        <f>AND(ZORUNLU!#REF!,"AAAAAHvvh14=")</f>
        <v>#REF!</v>
      </c>
      <c r="CR7" t="e">
        <f>AND(ZORUNLU!#REF!,"AAAAAHvvh18=")</f>
        <v>#REF!</v>
      </c>
      <c r="CS7" t="e">
        <f>AND(ZORUNLU!#REF!,"AAAAAHvvh2A=")</f>
        <v>#REF!</v>
      </c>
      <c r="CT7" t="e">
        <f>AND(ZORUNLU!#REF!,"AAAAAHvvh2E=")</f>
        <v>#REF!</v>
      </c>
      <c r="CU7" t="e">
        <f>AND(ZORUNLU!#REF!,"AAAAAHvvh2I=")</f>
        <v>#REF!</v>
      </c>
      <c r="CV7" t="e">
        <f>AND(ZORUNLU!#REF!,"AAAAAHvvh2M=")</f>
        <v>#REF!</v>
      </c>
      <c r="CW7" t="e">
        <f>AND(ZORUNLU!#REF!,"AAAAAHvvh2Q=")</f>
        <v>#REF!</v>
      </c>
      <c r="CX7" t="e">
        <f>AND(ZORUNLU!#REF!,"AAAAAHvvh2U=")</f>
        <v>#REF!</v>
      </c>
      <c r="CY7" t="e">
        <f>AND(ZORUNLU!#REF!,"AAAAAHvvh2Y=")</f>
        <v>#REF!</v>
      </c>
      <c r="CZ7" t="e">
        <f>AND(ZORUNLU!#REF!,"AAAAAHvvh2c=")</f>
        <v>#REF!</v>
      </c>
      <c r="DA7" t="e">
        <f>AND(ZORUNLU!#REF!,"AAAAAHvvh2g=")</f>
        <v>#REF!</v>
      </c>
      <c r="DB7" t="e">
        <f>AND(ZORUNLU!#REF!,"AAAAAHvvh2k=")</f>
        <v>#REF!</v>
      </c>
      <c r="DC7" t="e">
        <f>AND(ZORUNLU!#REF!,"AAAAAHvvh2o=")</f>
        <v>#REF!</v>
      </c>
      <c r="DD7" t="e">
        <f>AND(ZORUNLU!#REF!,"AAAAAHvvh2s=")</f>
        <v>#REF!</v>
      </c>
      <c r="DE7" t="e">
        <f>AND(ZORUNLU!#REF!,"AAAAAHvvh2w=")</f>
        <v>#REF!</v>
      </c>
      <c r="DF7" t="e">
        <f>AND(ZORUNLU!#REF!,"AAAAAHvvh20=")</f>
        <v>#REF!</v>
      </c>
      <c r="DG7" t="e">
        <f>AND(ZORUNLU!#REF!,"AAAAAHvvh24=")</f>
        <v>#REF!</v>
      </c>
      <c r="DH7" t="e">
        <f>AND(ZORUNLU!#REF!,"AAAAAHvvh28=")</f>
        <v>#REF!</v>
      </c>
      <c r="DI7" t="e">
        <f>AND(ZORUNLU!#REF!,"AAAAAHvvh3A=")</f>
        <v>#REF!</v>
      </c>
      <c r="DJ7" t="e">
        <f>AND(ZORUNLU!#REF!,"AAAAAHvvh3E=")</f>
        <v>#REF!</v>
      </c>
      <c r="DK7" t="e">
        <f>AND(ZORUNLU!#REF!,"AAAAAHvvh3I=")</f>
        <v>#REF!</v>
      </c>
      <c r="DL7" t="e">
        <f>AND(ZORUNLU!#REF!,"AAAAAHvvh3M=")</f>
        <v>#REF!</v>
      </c>
      <c r="DM7" t="e">
        <f>AND(ZORUNLU!#REF!,"AAAAAHvvh3Q=")</f>
        <v>#REF!</v>
      </c>
      <c r="DN7" t="e">
        <f>AND(ZORUNLU!#REF!,"AAAAAHvvh3U=")</f>
        <v>#REF!</v>
      </c>
      <c r="DO7" t="e">
        <f>AND(ZORUNLU!#REF!,"AAAAAHvvh3Y=")</f>
        <v>#REF!</v>
      </c>
      <c r="DP7" t="e">
        <f>AND(ZORUNLU!#REF!,"AAAAAHvvh3c=")</f>
        <v>#REF!</v>
      </c>
      <c r="DQ7" t="e">
        <f>AND(ZORUNLU!I58,"AAAAAHvvh3g=")</f>
        <v>#VALUE!</v>
      </c>
      <c r="DR7" t="e">
        <f>AND(ZORUNLU!J58,"AAAAAHvvh3k=")</f>
        <v>#VALUE!</v>
      </c>
      <c r="DS7" t="e">
        <f>AND(ZORUNLU!K58,"AAAAAHvvh3o=")</f>
        <v>#VALUE!</v>
      </c>
      <c r="DT7" t="e">
        <f>AND(ZORUNLU!L58,"AAAAAHvvh3s=")</f>
        <v>#VALUE!</v>
      </c>
      <c r="DU7" t="e">
        <f>AND(ZORUNLU!M58,"AAAAAHvvh3w=")</f>
        <v>#VALUE!</v>
      </c>
      <c r="DV7" t="e">
        <f>AND(ZORUNLU!N58,"AAAAAHvvh30=")</f>
        <v>#VALUE!</v>
      </c>
      <c r="DW7" t="e">
        <f>AND(ZORUNLU!#REF!,"AAAAAHvvh34=")</f>
        <v>#REF!</v>
      </c>
      <c r="DX7" t="e">
        <f>AND(ZORUNLU!#REF!,"AAAAAHvvh38=")</f>
        <v>#REF!</v>
      </c>
      <c r="DY7" t="e">
        <f>AND(ZORUNLU!#REF!,"AAAAAHvvh4A=")</f>
        <v>#REF!</v>
      </c>
      <c r="DZ7" t="e">
        <f>AND(ZORUNLU!#REF!,"AAAAAHvvh4E=")</f>
        <v>#REF!</v>
      </c>
      <c r="EA7" t="e">
        <f>AND(ZORUNLU!#REF!,"AAAAAHvvh4I=")</f>
        <v>#REF!</v>
      </c>
      <c r="EB7" t="e">
        <f>AND(ZORUNLU!#REF!,"AAAAAHvvh4M=")</f>
        <v>#REF!</v>
      </c>
      <c r="EC7" t="e">
        <f>AND(ZORUNLU!#REF!,"AAAAAHvvh4Q=")</f>
        <v>#REF!</v>
      </c>
      <c r="ED7" t="e">
        <f>AND(ZORUNLU!#REF!,"AAAAAHvvh4U=")</f>
        <v>#REF!</v>
      </c>
      <c r="EE7" t="e">
        <f>AND(ZORUNLU!#REF!,"AAAAAHvvh4Y=")</f>
        <v>#REF!</v>
      </c>
      <c r="EF7" t="e">
        <f>AND(ZORUNLU!#REF!,"AAAAAHvvh4c=")</f>
        <v>#REF!</v>
      </c>
      <c r="EG7" t="e">
        <f>AND(ZORUNLU!#REF!,"AAAAAHvvh4g=")</f>
        <v>#REF!</v>
      </c>
      <c r="EH7" t="e">
        <f>AND(ZORUNLU!#REF!,"AAAAAHvvh4k=")</f>
        <v>#REF!</v>
      </c>
      <c r="EI7" t="e">
        <f>AND(ZORUNLU!#REF!,"AAAAAHvvh4o=")</f>
        <v>#REF!</v>
      </c>
      <c r="EJ7" t="e">
        <f>AND(ZORUNLU!#REF!,"AAAAAHvvh4s=")</f>
        <v>#REF!</v>
      </c>
      <c r="EK7" t="e">
        <f>AND(ZORUNLU!#REF!,"AAAAAHvvh4w=")</f>
        <v>#REF!</v>
      </c>
      <c r="EL7" t="e">
        <f>AND(ZORUNLU!#REF!,"AAAAAHvvh40=")</f>
        <v>#REF!</v>
      </c>
      <c r="EM7" t="e">
        <f>AND(ZORUNLU!#REF!,"AAAAAHvvh44=")</f>
        <v>#REF!</v>
      </c>
      <c r="EN7" t="e">
        <f>AND(ZORUNLU!#REF!,"AAAAAHvvh48=")</f>
        <v>#REF!</v>
      </c>
      <c r="EO7" t="e">
        <f>AND(ZORUNLU!#REF!,"AAAAAHvvh5A=")</f>
        <v>#REF!</v>
      </c>
      <c r="EP7" t="e">
        <f>AND(ZORUNLU!#REF!,"AAAAAHvvh5E=")</f>
        <v>#REF!</v>
      </c>
      <c r="EQ7" t="e">
        <f>AND(ZORUNLU!#REF!,"AAAAAHvvh5I=")</f>
        <v>#REF!</v>
      </c>
      <c r="ER7" t="e">
        <f>AND(ZORUNLU!#REF!,"AAAAAHvvh5M=")</f>
        <v>#REF!</v>
      </c>
      <c r="ES7" t="e">
        <f>AND(ZORUNLU!#REF!,"AAAAAHvvh5Q=")</f>
        <v>#REF!</v>
      </c>
      <c r="ET7" t="e">
        <f>AND(ZORUNLU!#REF!,"AAAAAHvvh5U=")</f>
        <v>#REF!</v>
      </c>
      <c r="EU7" t="e">
        <f>AND(ZORUNLU!#REF!,"AAAAAHvvh5Y=")</f>
        <v>#REF!</v>
      </c>
      <c r="EV7" t="e">
        <f>AND(ZORUNLU!#REF!,"AAAAAHvvh5c=")</f>
        <v>#REF!</v>
      </c>
      <c r="EW7" t="e">
        <f>AND(ZORUNLU!#REF!,"AAAAAHvvh5g=")</f>
        <v>#REF!</v>
      </c>
      <c r="EX7" t="e">
        <f>AND(ZORUNLU!#REF!,"AAAAAHvvh5k=")</f>
        <v>#REF!</v>
      </c>
      <c r="EY7" t="e">
        <f>AND(ZORUNLU!#REF!,"AAAAAHvvh5o=")</f>
        <v>#REF!</v>
      </c>
      <c r="EZ7" t="e">
        <f>AND(ZORUNLU!#REF!,"AAAAAHvvh5s=")</f>
        <v>#REF!</v>
      </c>
      <c r="FA7" t="e">
        <f>AND(ZORUNLU!#REF!,"AAAAAHvvh5w=")</f>
        <v>#REF!</v>
      </c>
      <c r="FB7" t="e">
        <f>AND(ZORUNLU!#REF!,"AAAAAHvvh50=")</f>
        <v>#REF!</v>
      </c>
      <c r="FC7" t="e">
        <f>AND(ZORUNLU!#REF!,"AAAAAHvvh54=")</f>
        <v>#REF!</v>
      </c>
      <c r="FD7" t="e">
        <f>AND(ZORUNLU!#REF!,"AAAAAHvvh58=")</f>
        <v>#REF!</v>
      </c>
      <c r="FE7" t="e">
        <f>AND(ZORUNLU!#REF!,"AAAAAHvvh6A=")</f>
        <v>#REF!</v>
      </c>
      <c r="FF7" t="e">
        <f>AND(ZORUNLU!#REF!,"AAAAAHvvh6E=")</f>
        <v>#REF!</v>
      </c>
      <c r="FG7" t="e">
        <f>AND(ZORUNLU!#REF!,"AAAAAHvvh6I=")</f>
        <v>#REF!</v>
      </c>
      <c r="FH7" t="e">
        <f>AND(ZORUNLU!#REF!,"AAAAAHvvh6M=")</f>
        <v>#REF!</v>
      </c>
      <c r="FI7" t="e">
        <f>AND(ZORUNLU!#REF!,"AAAAAHvvh6Q=")</f>
        <v>#REF!</v>
      </c>
      <c r="FJ7" t="e">
        <f>AND(ZORUNLU!#REF!,"AAAAAHvvh6U=")</f>
        <v>#REF!</v>
      </c>
      <c r="FK7" t="e">
        <f>AND(ZORUNLU!#REF!,"AAAAAHvvh6Y=")</f>
        <v>#REF!</v>
      </c>
      <c r="FL7" t="e">
        <f>AND(ZORUNLU!#REF!,"AAAAAHvvh6c=")</f>
        <v>#REF!</v>
      </c>
      <c r="FM7" t="e">
        <f>AND(ZORUNLU!#REF!,"AAAAAHvvh6g=")</f>
        <v>#REF!</v>
      </c>
      <c r="FN7" t="e">
        <f>AND(ZORUNLU!#REF!,"AAAAAHvvh6k=")</f>
        <v>#REF!</v>
      </c>
      <c r="FO7" t="e">
        <f>AND(ZORUNLU!#REF!,"AAAAAHvvh6o=")</f>
        <v>#REF!</v>
      </c>
      <c r="FP7" t="e">
        <f>AND(ZORUNLU!#REF!,"AAAAAHvvh6s=")</f>
        <v>#REF!</v>
      </c>
      <c r="FQ7" t="e">
        <f>AND(ZORUNLU!#REF!,"AAAAAHvvh6w=")</f>
        <v>#REF!</v>
      </c>
      <c r="FR7" t="e">
        <f>AND(ZORUNLU!#REF!,"AAAAAHvvh60=")</f>
        <v>#REF!</v>
      </c>
      <c r="FS7" t="e">
        <f>AND(ZORUNLU!#REF!,"AAAAAHvvh64=")</f>
        <v>#REF!</v>
      </c>
      <c r="FT7" t="e">
        <f>AND(ZORUNLU!#REF!,"AAAAAHvvh68=")</f>
        <v>#REF!</v>
      </c>
      <c r="FU7" t="e">
        <f>AND(ZORUNLU!#REF!,"AAAAAHvvh7A=")</f>
        <v>#REF!</v>
      </c>
      <c r="FV7" t="e">
        <f>AND(ZORUNLU!#REF!,"AAAAAHvvh7E=")</f>
        <v>#REF!</v>
      </c>
      <c r="FW7" t="e">
        <f>AND(ZORUNLU!#REF!,"AAAAAHvvh7I=")</f>
        <v>#REF!</v>
      </c>
      <c r="FX7" t="e">
        <f>AND(ZORUNLU!#REF!,"AAAAAHvvh7M=")</f>
        <v>#REF!</v>
      </c>
      <c r="FY7" t="e">
        <f>AND(ZORUNLU!#REF!,"AAAAAHvvh7Q=")</f>
        <v>#REF!</v>
      </c>
      <c r="FZ7" t="e">
        <f>AND(ZORUNLU!#REF!,"AAAAAHvvh7U=")</f>
        <v>#REF!</v>
      </c>
      <c r="GA7" t="e">
        <f>AND(ZORUNLU!#REF!,"AAAAAHvvh7Y=")</f>
        <v>#REF!</v>
      </c>
      <c r="GB7" t="e">
        <f>AND(ZORUNLU!#REF!,"AAAAAHvvh7c=")</f>
        <v>#REF!</v>
      </c>
      <c r="GC7" t="e">
        <f>AND(ZORUNLU!#REF!,"AAAAAHvvh7g=")</f>
        <v>#REF!</v>
      </c>
      <c r="GD7" t="e">
        <f>AND(ZORUNLU!#REF!,"AAAAAHvvh7k=")</f>
        <v>#REF!</v>
      </c>
      <c r="GE7" t="e">
        <f>AND(ZORUNLU!#REF!,"AAAAAHvvh7o=")</f>
        <v>#REF!</v>
      </c>
      <c r="GF7" t="e">
        <f>AND(ZORUNLU!#REF!,"AAAAAHvvh7s=")</f>
        <v>#REF!</v>
      </c>
      <c r="GG7" t="e">
        <f>AND(ZORUNLU!#REF!,"AAAAAHvvh7w=")</f>
        <v>#REF!</v>
      </c>
      <c r="GH7" t="e">
        <f>AND(ZORUNLU!#REF!,"AAAAAHvvh70=")</f>
        <v>#REF!</v>
      </c>
      <c r="GI7" t="e">
        <f>AND(ZORUNLU!#REF!,"AAAAAHvvh74=")</f>
        <v>#REF!</v>
      </c>
      <c r="GJ7" t="e">
        <f>AND(ZORUNLU!#REF!,"AAAAAHvvh78=")</f>
        <v>#REF!</v>
      </c>
      <c r="GK7" t="e">
        <f>AND(ZORUNLU!#REF!,"AAAAAHvvh8A=")</f>
        <v>#REF!</v>
      </c>
      <c r="GL7" t="e">
        <f>AND(ZORUNLU!#REF!,"AAAAAHvvh8E=")</f>
        <v>#REF!</v>
      </c>
      <c r="GM7" t="e">
        <f>AND(ZORUNLU!O66,"AAAAAHvvh8I=")</f>
        <v>#VALUE!</v>
      </c>
      <c r="GN7" t="e">
        <f>AND(ZORUNLU!P66,"AAAAAHvvh8M=")</f>
        <v>#VALUE!</v>
      </c>
      <c r="GO7" t="e">
        <f>AND(ZORUNLU!#REF!,"AAAAAHvvh8Q=")</f>
        <v>#REF!</v>
      </c>
      <c r="GP7" t="e">
        <f>AND(ZORUNLU!#REF!,"AAAAAHvvh8U=")</f>
        <v>#REF!</v>
      </c>
      <c r="GQ7" t="e">
        <f>AND(ZORUNLU!#REF!,"AAAAAHvvh8Y=")</f>
        <v>#REF!</v>
      </c>
      <c r="GR7" t="e">
        <f>AND(ZORUNLU!#REF!,"AAAAAHvvh8c=")</f>
        <v>#REF!</v>
      </c>
      <c r="GS7" t="e">
        <f>AND(ZORUNLU!#REF!,"AAAAAHvvh8g=")</f>
        <v>#REF!</v>
      </c>
      <c r="GT7" t="e">
        <f>AND(ZORUNLU!#REF!,"AAAAAHvvh8k=")</f>
        <v>#REF!</v>
      </c>
      <c r="GU7" t="e">
        <f>AND(ZORUNLU!#REF!,"AAAAAHvvh8o=")</f>
        <v>#REF!</v>
      </c>
      <c r="GV7" t="e">
        <f>AND(ZORUNLU!#REF!,"AAAAAHvvh8s=")</f>
        <v>#REF!</v>
      </c>
      <c r="GW7" t="e">
        <f>AND(ZORUNLU!H66,"AAAAAHvvh8w=")</f>
        <v>#VALUE!</v>
      </c>
      <c r="GX7" t="e">
        <f>AND(ZORUNLU!#REF!,"AAAAAHvvh80=")</f>
        <v>#REF!</v>
      </c>
      <c r="GY7" t="e">
        <f>AND(ZORUNLU!#REF!,"AAAAAHvvh84=")</f>
        <v>#REF!</v>
      </c>
      <c r="GZ7" t="e">
        <f>AND(ZORUNLU!#REF!,"AAAAAHvvh88=")</f>
        <v>#REF!</v>
      </c>
      <c r="HA7" t="e">
        <f>AND(ZORUNLU!#REF!,"AAAAAHvvh9A=")</f>
        <v>#REF!</v>
      </c>
      <c r="HB7" t="e">
        <f>AND(ZORUNLU!#REF!,"AAAAAHvvh9E=")</f>
        <v>#REF!</v>
      </c>
      <c r="HC7" t="e">
        <f>AND(ZORUNLU!#REF!,"AAAAAHvvh9I=")</f>
        <v>#REF!</v>
      </c>
      <c r="HD7" t="e">
        <f>AND(ZORUNLU!O67,"AAAAAHvvh9M=")</f>
        <v>#VALUE!</v>
      </c>
      <c r="HE7" t="e">
        <f>AND(ZORUNLU!P67,"AAAAAHvvh9Q=")</f>
        <v>#VALUE!</v>
      </c>
      <c r="HF7" t="e">
        <f>AND(ZORUNLU!#REF!,"AAAAAHvvh9U=")</f>
        <v>#REF!</v>
      </c>
      <c r="HG7" t="e">
        <f>AND(ZORUNLU!#REF!,"AAAAAHvvh9Y=")</f>
        <v>#REF!</v>
      </c>
      <c r="HH7" t="e">
        <f>AND(ZORUNLU!#REF!,"AAAAAHvvh9c=")</f>
        <v>#REF!</v>
      </c>
      <c r="HI7" t="e">
        <f>AND(ZORUNLU!#REF!,"AAAAAHvvh9g=")</f>
        <v>#REF!</v>
      </c>
      <c r="HJ7" t="e">
        <f>AND(ZORUNLU!#REF!,"AAAAAHvvh9k=")</f>
        <v>#REF!</v>
      </c>
      <c r="HK7" t="e">
        <f>AND(ZORUNLU!#REF!,"AAAAAHvvh9o=")</f>
        <v>#REF!</v>
      </c>
      <c r="HL7" t="e">
        <f>AND(ZORUNLU!#REF!,"AAAAAHvvh9s=")</f>
        <v>#REF!</v>
      </c>
      <c r="HM7" t="e">
        <f>AND(ZORUNLU!#REF!,"AAAAAHvvh9w=")</f>
        <v>#REF!</v>
      </c>
      <c r="HN7" t="e">
        <f>AND(ZORUNLU!#REF!,"AAAAAHvvh90=")</f>
        <v>#REF!</v>
      </c>
      <c r="HO7" t="e">
        <f>AND(ZORUNLU!#REF!,"AAAAAHvvh94=")</f>
        <v>#REF!</v>
      </c>
      <c r="HP7" t="e">
        <f>AND(ZORUNLU!#REF!,"AAAAAHvvh98=")</f>
        <v>#REF!</v>
      </c>
      <c r="HQ7" t="e">
        <f>AND(ZORUNLU!#REF!,"AAAAAHvvh+A=")</f>
        <v>#REF!</v>
      </c>
      <c r="HR7" t="e">
        <f>AND(ZORUNLU!#REF!,"AAAAAHvvh+E=")</f>
        <v>#REF!</v>
      </c>
      <c r="HS7" t="e">
        <f>AND(ZORUNLU!#REF!,"AAAAAHvvh+I=")</f>
        <v>#REF!</v>
      </c>
      <c r="HT7" t="e">
        <f>AND(ZORUNLU!#REF!,"AAAAAHvvh+M=")</f>
        <v>#REF!</v>
      </c>
      <c r="HU7" t="e">
        <f>AND(ZORUNLU!O68,"AAAAAHvvh+Q=")</f>
        <v>#VALUE!</v>
      </c>
      <c r="HV7" t="e">
        <f>AND(ZORUNLU!P68,"AAAAAHvvh+U=")</f>
        <v>#VALUE!</v>
      </c>
      <c r="HW7" t="e">
        <f>AND(ZORUNLU!#REF!,"AAAAAHvvh+Y=")</f>
        <v>#REF!</v>
      </c>
      <c r="HX7" t="e">
        <f>AND(ZORUNLU!#REF!,"AAAAAHvvh+c=")</f>
        <v>#REF!</v>
      </c>
      <c r="HY7" t="e">
        <f>AND(ZORUNLU!#REF!,"AAAAAHvvh+g=")</f>
        <v>#REF!</v>
      </c>
      <c r="HZ7" t="e">
        <f>AND(ZORUNLU!#REF!,"AAAAAHvvh+k=")</f>
        <v>#REF!</v>
      </c>
      <c r="IA7" t="e">
        <f>AND(ZORUNLU!#REF!,"AAAAAHvvh+o=")</f>
        <v>#REF!</v>
      </c>
      <c r="IB7" t="e">
        <f>AND(ZORUNLU!#REF!,"AAAAAHvvh+s=")</f>
        <v>#REF!</v>
      </c>
      <c r="IC7" t="e">
        <f>AND(ZORUNLU!#REF!,"AAAAAHvvh+w=")</f>
        <v>#REF!</v>
      </c>
      <c r="ID7" t="e">
        <f>AND(ZORUNLU!#REF!,"AAAAAHvvh+0=")</f>
        <v>#REF!</v>
      </c>
      <c r="IE7" t="e">
        <f>AND(ZORUNLU!#REF!,"AAAAAHvvh+4=")</f>
        <v>#REF!</v>
      </c>
      <c r="IF7" t="e">
        <f>AND(ZORUNLU!#REF!,"AAAAAHvvh+8=")</f>
        <v>#REF!</v>
      </c>
      <c r="IG7" t="e">
        <f>AND(ZORUNLU!#REF!,"AAAAAHvvh/A=")</f>
        <v>#REF!</v>
      </c>
      <c r="IH7" t="e">
        <f>AND(ZORUNLU!#REF!,"AAAAAHvvh/E=")</f>
        <v>#REF!</v>
      </c>
      <c r="II7" t="e">
        <f>AND(ZORUNLU!#REF!,"AAAAAHvvh/I=")</f>
        <v>#REF!</v>
      </c>
      <c r="IJ7" t="e">
        <f>AND(ZORUNLU!#REF!,"AAAAAHvvh/M=")</f>
        <v>#REF!</v>
      </c>
      <c r="IK7" t="e">
        <f>AND(ZORUNLU!#REF!,"AAAAAHvvh/Q=")</f>
        <v>#REF!</v>
      </c>
      <c r="IL7" t="e">
        <f>AND(ZORUNLU!O69,"AAAAAHvvh/U=")</f>
        <v>#VALUE!</v>
      </c>
      <c r="IM7" t="e">
        <f>AND(ZORUNLU!P69,"AAAAAHvvh/Y=")</f>
        <v>#VALUE!</v>
      </c>
      <c r="IN7" t="e">
        <f>AND(ZORUNLU!#REF!,"AAAAAHvvh/c=")</f>
        <v>#REF!</v>
      </c>
      <c r="IO7" t="e">
        <f>AND(ZORUNLU!#REF!,"AAAAAHvvh/g=")</f>
        <v>#REF!</v>
      </c>
      <c r="IP7" t="e">
        <f>AND(ZORUNLU!#REF!,"AAAAAHvvh/k=")</f>
        <v>#REF!</v>
      </c>
      <c r="IQ7" t="e">
        <f>AND(ZORUNLU!#REF!,"AAAAAHvvh/o=")</f>
        <v>#REF!</v>
      </c>
      <c r="IR7" t="e">
        <f>AND(ZORUNLU!#REF!,"AAAAAHvvh/s=")</f>
        <v>#REF!</v>
      </c>
      <c r="IS7" t="e">
        <f>AND(ZORUNLU!#REF!,"AAAAAHvvh/w=")</f>
        <v>#REF!</v>
      </c>
      <c r="IT7" t="e">
        <f>AND(ZORUNLU!#REF!,"AAAAAHvvh/0=")</f>
        <v>#REF!</v>
      </c>
      <c r="IU7" t="e">
        <f>AND(ZORUNLU!#REF!,"AAAAAHvvh/4=")</f>
        <v>#REF!</v>
      </c>
      <c r="IV7" t="e">
        <f>AND(ZORUNLU!#REF!,"AAAAAHvvh/8=")</f>
        <v>#REF!</v>
      </c>
    </row>
    <row r="8" spans="1:256" x14ac:dyDescent="0.25">
      <c r="A8" t="e">
        <f>AND(ZORUNLU!#REF!,"AAAAAHevXwA=")</f>
        <v>#REF!</v>
      </c>
      <c r="B8" t="e">
        <f>AND(ZORUNLU!#REF!,"AAAAAHevXwE=")</f>
        <v>#REF!</v>
      </c>
      <c r="C8" t="e">
        <f>AND(ZORUNLU!#REF!,"AAAAAHevXwI=")</f>
        <v>#REF!</v>
      </c>
      <c r="D8" t="e">
        <f>AND(ZORUNLU!#REF!,"AAAAAHevXwM=")</f>
        <v>#REF!</v>
      </c>
      <c r="E8" t="e">
        <f>AND(ZORUNLU!#REF!,"AAAAAHevXwQ=")</f>
        <v>#REF!</v>
      </c>
      <c r="F8" t="e">
        <f>AND(ZORUNLU!#REF!,"AAAAAHevXwU=")</f>
        <v>#REF!</v>
      </c>
      <c r="G8" t="e">
        <f>AND(ZORUNLU!#REF!,"AAAAAHevXwY=")</f>
        <v>#REF!</v>
      </c>
      <c r="H8" t="e">
        <f>AND(ZORUNLU!#REF!,"AAAAAHevXwc=")</f>
        <v>#REF!</v>
      </c>
      <c r="I8" t="e">
        <f>AND(ZORUNLU!#REF!,"AAAAAHevXwg=")</f>
        <v>#REF!</v>
      </c>
      <c r="J8" t="e">
        <f>AND(ZORUNLU!#REF!,"AAAAAHevXwk=")</f>
        <v>#REF!</v>
      </c>
      <c r="K8" t="e">
        <f>AND(ZORUNLU!#REF!,"AAAAAHevXwo=")</f>
        <v>#REF!</v>
      </c>
      <c r="L8" t="e">
        <f>AND(ZORUNLU!#REF!,"AAAAAHevXws=")</f>
        <v>#REF!</v>
      </c>
      <c r="M8" t="e">
        <f>AND(ZORUNLU!#REF!,"AAAAAHevXww=")</f>
        <v>#REF!</v>
      </c>
      <c r="N8" t="e">
        <f>AND(ZORUNLU!#REF!,"AAAAAHevXw0=")</f>
        <v>#REF!</v>
      </c>
      <c r="O8" t="e">
        <f>AND(ZORUNLU!#REF!,"AAAAAHevXw4=")</f>
        <v>#REF!</v>
      </c>
      <c r="P8" t="e">
        <f>AND(ZORUNLU!#REF!,"AAAAAHevXw8=")</f>
        <v>#REF!</v>
      </c>
      <c r="Q8" t="e">
        <f>AND(ZORUNLU!#REF!,"AAAAAHevXxA=")</f>
        <v>#REF!</v>
      </c>
      <c r="R8" t="e">
        <f>AND(ZORUNLU!#REF!,"AAAAAHevXxE=")</f>
        <v>#REF!</v>
      </c>
      <c r="S8" t="e">
        <f>AND(ZORUNLU!#REF!,"AAAAAHevXxI=")</f>
        <v>#REF!</v>
      </c>
      <c r="T8" t="e">
        <f>AND(ZORUNLU!#REF!,"AAAAAHevXxM=")</f>
        <v>#REF!</v>
      </c>
      <c r="U8" t="e">
        <f>AND(ZORUNLU!#REF!,"AAAAAHevXxQ=")</f>
        <v>#REF!</v>
      </c>
      <c r="V8" t="e">
        <f>AND(ZORUNLU!#REF!,"AAAAAHevXxU=")</f>
        <v>#REF!</v>
      </c>
      <c r="W8" t="e">
        <f>AND(ZORUNLU!#REF!,"AAAAAHevXxY=")</f>
        <v>#REF!</v>
      </c>
      <c r="X8" t="e">
        <f>AND(ZORUNLU!#REF!,"AAAAAHevXxc=")</f>
        <v>#REF!</v>
      </c>
      <c r="Y8" t="e">
        <f>AND(ZORUNLU!#REF!,"AAAAAHevXxg=")</f>
        <v>#REF!</v>
      </c>
      <c r="Z8" t="e">
        <f>AND(ZORUNLU!#REF!,"AAAAAHevXxk=")</f>
        <v>#REF!</v>
      </c>
      <c r="AA8" t="e">
        <f>AND(ZORUNLU!#REF!,"AAAAAHevXxo=")</f>
        <v>#REF!</v>
      </c>
      <c r="AB8" t="e">
        <f>AND(ZORUNLU!#REF!,"AAAAAHevXxs=")</f>
        <v>#REF!</v>
      </c>
      <c r="AC8" t="e">
        <f>AND(ZORUNLU!#REF!,"AAAAAHevXxw=")</f>
        <v>#REF!</v>
      </c>
      <c r="AD8" t="e">
        <f>AND(ZORUNLU!#REF!,"AAAAAHevXx0=")</f>
        <v>#REF!</v>
      </c>
      <c r="AE8" t="e">
        <f>AND(ZORUNLU!#REF!,"AAAAAHevXx4=")</f>
        <v>#REF!</v>
      </c>
      <c r="AF8" t="e">
        <f>AND(ZORUNLU!#REF!,"AAAAAHevXx8=")</f>
        <v>#REF!</v>
      </c>
      <c r="AG8" t="e">
        <f>AND(ZORUNLU!#REF!,"AAAAAHevXyA=")</f>
        <v>#REF!</v>
      </c>
      <c r="AH8" t="e">
        <f>AND(ZORUNLU!#REF!,"AAAAAHevXyE=")</f>
        <v>#REF!</v>
      </c>
      <c r="AI8" t="e">
        <f>AND(ZORUNLU!#REF!,"AAAAAHevXyI=")</f>
        <v>#REF!</v>
      </c>
      <c r="AJ8" t="e">
        <f>AND(ZORUNLU!#REF!,"AAAAAHevXyM=")</f>
        <v>#REF!</v>
      </c>
      <c r="AK8" t="e">
        <f>AND(ZORUNLU!#REF!,"AAAAAHevXyQ=")</f>
        <v>#REF!</v>
      </c>
      <c r="AL8" t="e">
        <f>AND(ZORUNLU!#REF!,"AAAAAHevXyU=")</f>
        <v>#REF!</v>
      </c>
      <c r="AM8" t="e">
        <f>AND(ZORUNLU!#REF!,"AAAAAHevXyY=")</f>
        <v>#REF!</v>
      </c>
      <c r="AN8" t="e">
        <f>AND(ZORUNLU!#REF!,"AAAAAHevXyc=")</f>
        <v>#REF!</v>
      </c>
      <c r="AO8" t="e">
        <f>AND(ZORUNLU!#REF!,"AAAAAHevXyg=")</f>
        <v>#REF!</v>
      </c>
      <c r="AP8" t="e">
        <f>AND(ZORUNLU!#REF!,"AAAAAHevXyk=")</f>
        <v>#REF!</v>
      </c>
      <c r="AQ8" t="e">
        <f>AND(ZORUNLU!#REF!,"AAAAAHevXyo=")</f>
        <v>#REF!</v>
      </c>
      <c r="AR8" t="e">
        <f>AND(ZORUNLU!#REF!,"AAAAAHevXys=")</f>
        <v>#REF!</v>
      </c>
      <c r="AS8" t="e">
        <f>AND(ZORUNLU!#REF!,"AAAAAHevXyw=")</f>
        <v>#REF!</v>
      </c>
      <c r="AT8" t="e">
        <f>AND(ZORUNLU!#REF!,"AAAAAHevXy0=")</f>
        <v>#REF!</v>
      </c>
      <c r="AU8" t="e">
        <f>AND(ZORUNLU!#REF!,"AAAAAHevXy4=")</f>
        <v>#REF!</v>
      </c>
      <c r="AV8" t="e">
        <f>AND(ZORUNLU!#REF!,"AAAAAHevXy8=")</f>
        <v>#REF!</v>
      </c>
      <c r="AW8" t="e">
        <f>AND(ZORUNLU!#REF!,"AAAAAHevXzA=")</f>
        <v>#REF!</v>
      </c>
      <c r="AX8" t="e">
        <f>AND(ZORUNLU!#REF!,"AAAAAHevXzE=")</f>
        <v>#REF!</v>
      </c>
      <c r="AY8" t="e">
        <f>AND(ZORUNLU!#REF!,"AAAAAHevXzI=")</f>
        <v>#REF!</v>
      </c>
      <c r="AZ8" t="e">
        <f>AND(ZORUNLU!#REF!,"AAAAAHevXzM=")</f>
        <v>#REF!</v>
      </c>
      <c r="BA8" t="e">
        <f>AND(ZORUNLU!#REF!,"AAAAAHevXzQ=")</f>
        <v>#REF!</v>
      </c>
      <c r="BB8" t="e">
        <f>AND(ZORUNLU!#REF!,"AAAAAHevXzU=")</f>
        <v>#REF!</v>
      </c>
      <c r="BC8" t="e">
        <f>AND(ZORUNLU!#REF!,"AAAAAHevXzY=")</f>
        <v>#REF!</v>
      </c>
      <c r="BD8" t="e">
        <f>AND(ZORUNLU!#REF!,"AAAAAHevXzc=")</f>
        <v>#REF!</v>
      </c>
      <c r="BE8" t="e">
        <f>AND(ZORUNLU!#REF!,"AAAAAHevXzg=")</f>
        <v>#REF!</v>
      </c>
      <c r="BF8" t="e">
        <f>AND(ZORUNLU!#REF!,"AAAAAHevXzk=")</f>
        <v>#REF!</v>
      </c>
      <c r="BG8" t="e">
        <f>AND(ZORUNLU!#REF!,"AAAAAHevXzo=")</f>
        <v>#REF!</v>
      </c>
      <c r="BH8" t="e">
        <f>AND(ZORUNLU!#REF!,"AAAAAHevXzs=")</f>
        <v>#REF!</v>
      </c>
      <c r="BI8" t="e">
        <f>AND(ZORUNLU!#REF!,"AAAAAHevXzw=")</f>
        <v>#REF!</v>
      </c>
      <c r="BJ8" t="e">
        <f>AND(ZORUNLU!#REF!,"AAAAAHevXz0=")</f>
        <v>#REF!</v>
      </c>
      <c r="BK8" t="e">
        <f>AND(ZORUNLU!#REF!,"AAAAAHevXz4=")</f>
        <v>#REF!</v>
      </c>
      <c r="BL8" t="e">
        <f>AND(ZORUNLU!#REF!,"AAAAAHevXz8=")</f>
        <v>#REF!</v>
      </c>
      <c r="BM8" t="e">
        <f>AND(ZORUNLU!#REF!,"AAAAAHevX0A=")</f>
        <v>#REF!</v>
      </c>
      <c r="BN8" t="e">
        <f>AND(ZORUNLU!#REF!,"AAAAAHevX0E=")</f>
        <v>#REF!</v>
      </c>
      <c r="BO8" t="e">
        <f>AND(ZORUNLU!#REF!,"AAAAAHevX0I=")</f>
        <v>#REF!</v>
      </c>
      <c r="BP8" t="e">
        <f>AND(ZORUNLU!#REF!,"AAAAAHevX0M=")</f>
        <v>#REF!</v>
      </c>
      <c r="BQ8" t="e">
        <f>AND(ZORUNLU!#REF!,"AAAAAHevX0Q=")</f>
        <v>#REF!</v>
      </c>
      <c r="BR8" t="e">
        <f>AND(ZORUNLU!#REF!,"AAAAAHevX0U=")</f>
        <v>#REF!</v>
      </c>
      <c r="BS8" t="e">
        <f>AND(ZORUNLU!#REF!,"AAAAAHevX0Y=")</f>
        <v>#REF!</v>
      </c>
      <c r="BT8" t="e">
        <f>AND(ZORUNLU!#REF!,"AAAAAHevX0c=")</f>
        <v>#REF!</v>
      </c>
      <c r="BU8" t="e">
        <f>AND(ZORUNLU!#REF!,"AAAAAHevX0g=")</f>
        <v>#REF!</v>
      </c>
      <c r="BV8" t="e">
        <f>AND(ZORUNLU!#REF!,"AAAAAHevX0k=")</f>
        <v>#REF!</v>
      </c>
      <c r="BW8" t="e">
        <f>AND(ZORUNLU!#REF!,"AAAAAHevX0o=")</f>
        <v>#REF!</v>
      </c>
      <c r="BX8" t="e">
        <f>AND(ZORUNLU!#REF!,"AAAAAHevX0s=")</f>
        <v>#REF!</v>
      </c>
      <c r="BY8" t="e">
        <f>AND(ZORUNLU!#REF!,"AAAAAHevX0w=")</f>
        <v>#REF!</v>
      </c>
      <c r="BZ8" t="e">
        <f>AND(ZORUNLU!#REF!,"AAAAAHevX00=")</f>
        <v>#REF!</v>
      </c>
      <c r="CA8" t="e">
        <f>AND(ZORUNLU!#REF!,"AAAAAHevX04=")</f>
        <v>#REF!</v>
      </c>
      <c r="CB8" t="e">
        <f>AND(ZORUNLU!#REF!,"AAAAAHevX08=")</f>
        <v>#REF!</v>
      </c>
      <c r="CC8" t="e">
        <f>AND(ZORUNLU!#REF!,"AAAAAHevX1A=")</f>
        <v>#REF!</v>
      </c>
      <c r="CD8" t="e">
        <f>AND(ZORUNLU!#REF!,"AAAAAHevX1E=")</f>
        <v>#REF!</v>
      </c>
      <c r="CE8" t="e">
        <f>AND(ZORUNLU!#REF!,"AAAAAHevX1I=")</f>
        <v>#REF!</v>
      </c>
      <c r="CF8" t="e">
        <f>AND(ZORUNLU!#REF!,"AAAAAHevX1M=")</f>
        <v>#REF!</v>
      </c>
      <c r="CG8" t="e">
        <f>AND(ZORUNLU!#REF!,"AAAAAHevX1Q=")</f>
        <v>#REF!</v>
      </c>
      <c r="CH8" t="e">
        <f>AND(ZORUNLU!#REF!,"AAAAAHevX1U=")</f>
        <v>#REF!</v>
      </c>
      <c r="CI8" t="e">
        <f>AND(ZORUNLU!#REF!,"AAAAAHevX1Y=")</f>
        <v>#REF!</v>
      </c>
      <c r="CJ8" t="e">
        <f>AND(ZORUNLU!#REF!,"AAAAAHevX1c=")</f>
        <v>#REF!</v>
      </c>
      <c r="CK8" t="e">
        <f>AND(ZORUNLU!#REF!,"AAAAAHevX1g=")</f>
        <v>#REF!</v>
      </c>
      <c r="CL8" t="e">
        <f>AND(ZORUNLU!#REF!,"AAAAAHevX1k=")</f>
        <v>#REF!</v>
      </c>
      <c r="CM8" t="e">
        <f>AND(ZORUNLU!#REF!,"AAAAAHevX1o=")</f>
        <v>#REF!</v>
      </c>
      <c r="CN8" t="e">
        <f>AND(ZORUNLU!#REF!,"AAAAAHevX1s=")</f>
        <v>#REF!</v>
      </c>
      <c r="CO8" t="e">
        <f>AND(ZORUNLU!#REF!,"AAAAAHevX1w=")</f>
        <v>#REF!</v>
      </c>
      <c r="CP8" t="e">
        <f>AND(ZORUNLU!#REF!,"AAAAAHevX10=")</f>
        <v>#REF!</v>
      </c>
      <c r="CQ8" t="e">
        <f>AND(ZORUNLU!#REF!,"AAAAAHevX14=")</f>
        <v>#REF!</v>
      </c>
      <c r="CR8" t="e">
        <f>AND(ZORUNLU!#REF!,"AAAAAHevX18=")</f>
        <v>#REF!</v>
      </c>
      <c r="CS8" t="e">
        <f>AND(ZORUNLU!#REF!,"AAAAAHevX2A=")</f>
        <v>#REF!</v>
      </c>
      <c r="CT8" t="e">
        <f>AND(ZORUNLU!#REF!,"AAAAAHevX2E=")</f>
        <v>#REF!</v>
      </c>
      <c r="CU8" t="e">
        <f>AND(ZORUNLU!#REF!,"AAAAAHevX2I=")</f>
        <v>#REF!</v>
      </c>
      <c r="CV8" t="e">
        <f>AND(ZORUNLU!#REF!,"AAAAAHevX2M=")</f>
        <v>#REF!</v>
      </c>
      <c r="CW8" t="e">
        <f>AND(ZORUNLU!#REF!,"AAAAAHevX2Q=")</f>
        <v>#REF!</v>
      </c>
      <c r="CX8" t="e">
        <f>AND(ZORUNLU!#REF!,"AAAAAHevX2U=")</f>
        <v>#REF!</v>
      </c>
      <c r="CY8" t="e">
        <f>AND(ZORUNLU!#REF!,"AAAAAHevX2Y=")</f>
        <v>#REF!</v>
      </c>
      <c r="CZ8" t="e">
        <f>AND(ZORUNLU!#REF!,"AAAAAHevX2c=")</f>
        <v>#REF!</v>
      </c>
      <c r="DA8" t="e">
        <f>AND(ZORUNLU!#REF!,"AAAAAHevX2g=")</f>
        <v>#REF!</v>
      </c>
      <c r="DB8" t="e">
        <f>AND(ZORUNLU!#REF!,"AAAAAHevX2k=")</f>
        <v>#REF!</v>
      </c>
      <c r="DC8" t="e">
        <f>AND(ZORUNLU!#REF!,"AAAAAHevX2o=")</f>
        <v>#REF!</v>
      </c>
      <c r="DD8" t="e">
        <f>AND(ZORUNLU!#REF!,"AAAAAHevX2s=")</f>
        <v>#REF!</v>
      </c>
      <c r="DE8" t="e">
        <f>AND(ZORUNLU!#REF!,"AAAAAHevX2w=")</f>
        <v>#REF!</v>
      </c>
      <c r="DF8" t="e">
        <f>AND(ZORUNLU!#REF!,"AAAAAHevX20=")</f>
        <v>#REF!</v>
      </c>
      <c r="DG8" t="e">
        <f>AND(ZORUNLU!#REF!,"AAAAAHevX24=")</f>
        <v>#REF!</v>
      </c>
      <c r="DH8" t="e">
        <f>AND(ZORUNLU!#REF!,"AAAAAHevX28=")</f>
        <v>#REF!</v>
      </c>
      <c r="DI8" t="e">
        <f>AND(ZORUNLU!#REF!,"AAAAAHevX3A=")</f>
        <v>#REF!</v>
      </c>
      <c r="DJ8" t="e">
        <f>AND(ZORUNLU!#REF!,"AAAAAHevX3E=")</f>
        <v>#REF!</v>
      </c>
      <c r="DK8" t="e">
        <f>AND(ZORUNLU!#REF!,"AAAAAHevX3I=")</f>
        <v>#REF!</v>
      </c>
      <c r="DL8" t="e">
        <f>AND(ZORUNLU!#REF!,"AAAAAHevX3M=")</f>
        <v>#REF!</v>
      </c>
      <c r="DM8" t="e">
        <f>AND(ZORUNLU!#REF!,"AAAAAHevX3Q=")</f>
        <v>#REF!</v>
      </c>
      <c r="DN8" t="e">
        <f>AND(ZORUNLU!#REF!,"AAAAAHevX3U=")</f>
        <v>#REF!</v>
      </c>
      <c r="DO8" t="e">
        <f>AND(ZORUNLU!#REF!,"AAAAAHevX3Y=")</f>
        <v>#REF!</v>
      </c>
      <c r="DP8" t="e">
        <f>AND(ZORUNLU!#REF!,"AAAAAHevX3c=")</f>
        <v>#REF!</v>
      </c>
      <c r="DQ8" t="e">
        <f>AND(ZORUNLU!#REF!,"AAAAAHevX3g=")</f>
        <v>#REF!</v>
      </c>
      <c r="DR8" t="e">
        <f>AND(ZORUNLU!#REF!,"AAAAAHevX3k=")</f>
        <v>#REF!</v>
      </c>
      <c r="DS8" t="e">
        <f>AND(ZORUNLU!#REF!,"AAAAAHevX3o=")</f>
        <v>#REF!</v>
      </c>
      <c r="DT8" t="e">
        <f>AND(ZORUNLU!#REF!,"AAAAAHevX3s=")</f>
        <v>#REF!</v>
      </c>
      <c r="DU8" t="e">
        <f>AND(ZORUNLU!#REF!,"AAAAAHevX3w=")</f>
        <v>#REF!</v>
      </c>
      <c r="DV8" t="e">
        <f>AND(ZORUNLU!#REF!,"AAAAAHevX30=")</f>
        <v>#REF!</v>
      </c>
      <c r="DW8" t="e">
        <f>AND(ZORUNLU!#REF!,"AAAAAHevX34=")</f>
        <v>#REF!</v>
      </c>
      <c r="DX8" t="e">
        <f>AND(ZORUNLU!#REF!,"AAAAAHevX38=")</f>
        <v>#REF!</v>
      </c>
      <c r="DY8" t="e">
        <f>AND(ZORUNLU!#REF!,"AAAAAHevX4A=")</f>
        <v>#REF!</v>
      </c>
      <c r="DZ8" t="e">
        <f>AND(ZORUNLU!#REF!,"AAAAAHevX4E=")</f>
        <v>#REF!</v>
      </c>
      <c r="EA8" t="e">
        <f>AND(ZORUNLU!#REF!,"AAAAAHevX4I=")</f>
        <v>#REF!</v>
      </c>
      <c r="EB8" t="e">
        <f>AND(ZORUNLU!#REF!,"AAAAAHevX4M=")</f>
        <v>#REF!</v>
      </c>
      <c r="EC8" t="e">
        <f>AND(ZORUNLU!#REF!,"AAAAAHevX4Q=")</f>
        <v>#REF!</v>
      </c>
      <c r="ED8" t="e">
        <f>AND(ZORUNLU!#REF!,"AAAAAHevX4U=")</f>
        <v>#REF!</v>
      </c>
      <c r="EE8" t="e">
        <f>AND(ZORUNLU!#REF!,"AAAAAHevX4Y=")</f>
        <v>#REF!</v>
      </c>
      <c r="EF8" t="e">
        <f>AND(ZORUNLU!#REF!,"AAAAAHevX4c=")</f>
        <v>#REF!</v>
      </c>
      <c r="EG8" t="e">
        <f>AND(ZORUNLU!#REF!,"AAAAAHevX4g=")</f>
        <v>#REF!</v>
      </c>
      <c r="EH8" t="e">
        <f>AND(ZORUNLU!#REF!,"AAAAAHevX4k=")</f>
        <v>#REF!</v>
      </c>
      <c r="EI8" t="e">
        <f>AND(ZORUNLU!#REF!,"AAAAAHevX4o=")</f>
        <v>#REF!</v>
      </c>
      <c r="EJ8" t="e">
        <f>AND(ZORUNLU!#REF!,"AAAAAHevX4s=")</f>
        <v>#REF!</v>
      </c>
      <c r="EK8" t="e">
        <f>AND(ZORUNLU!#REF!,"AAAAAHevX4w=")</f>
        <v>#REF!</v>
      </c>
      <c r="EL8" t="e">
        <f>AND(ZORUNLU!#REF!,"AAAAAHevX40=")</f>
        <v>#REF!</v>
      </c>
      <c r="EM8" t="e">
        <f>AND(ZORUNLU!#REF!,"AAAAAHevX44=")</f>
        <v>#REF!</v>
      </c>
      <c r="EN8" t="e">
        <f>AND(ZORUNLU!#REF!,"AAAAAHevX48=")</f>
        <v>#REF!</v>
      </c>
      <c r="EO8" t="e">
        <f>AND(ZORUNLU!#REF!,"AAAAAHevX5A=")</f>
        <v>#REF!</v>
      </c>
      <c r="EP8" t="e">
        <f>AND(ZORUNLU!#REF!,"AAAAAHevX5E=")</f>
        <v>#REF!</v>
      </c>
      <c r="EQ8" t="e">
        <f>AND(ZORUNLU!#REF!,"AAAAAHevX5I=")</f>
        <v>#REF!</v>
      </c>
      <c r="ER8" t="e">
        <f>AND(ZORUNLU!#REF!,"AAAAAHevX5M=")</f>
        <v>#REF!</v>
      </c>
      <c r="ES8" t="e">
        <f>AND(ZORUNLU!#REF!,"AAAAAHevX5Q=")</f>
        <v>#REF!</v>
      </c>
      <c r="ET8" t="e">
        <f>AND(ZORUNLU!#REF!,"AAAAAHevX5U=")</f>
        <v>#REF!</v>
      </c>
      <c r="EU8" t="e">
        <f>AND(ZORUNLU!#REF!,"AAAAAHevX5Y=")</f>
        <v>#REF!</v>
      </c>
      <c r="EV8" t="e">
        <f>AND(ZORUNLU!#REF!,"AAAAAHevX5c=")</f>
        <v>#REF!</v>
      </c>
      <c r="EW8" t="e">
        <f>AND(ZORUNLU!#REF!,"AAAAAHevX5g=")</f>
        <v>#REF!</v>
      </c>
      <c r="EX8" t="e">
        <f>AND(ZORUNLU!#REF!,"AAAAAHevX5k=")</f>
        <v>#REF!</v>
      </c>
      <c r="EY8" t="e">
        <f>AND(ZORUNLU!#REF!,"AAAAAHevX5o=")</f>
        <v>#REF!</v>
      </c>
      <c r="EZ8" t="e">
        <f>AND(ZORUNLU!#REF!,"AAAAAHevX5s=")</f>
        <v>#REF!</v>
      </c>
      <c r="FA8" t="e">
        <f>AND(ZORUNLU!#REF!,"AAAAAHevX5w=")</f>
        <v>#REF!</v>
      </c>
      <c r="FB8" t="e">
        <f>AND(ZORUNLU!#REF!,"AAAAAHevX50=")</f>
        <v>#REF!</v>
      </c>
      <c r="FC8" t="e">
        <f>AND(ZORUNLU!#REF!,"AAAAAHevX54=")</f>
        <v>#REF!</v>
      </c>
      <c r="FD8" t="e">
        <f>AND(ZORUNLU!#REF!,"AAAAAHevX58=")</f>
        <v>#REF!</v>
      </c>
      <c r="FE8" t="e">
        <f>AND(ZORUNLU!#REF!,"AAAAAHevX6A=")</f>
        <v>#REF!</v>
      </c>
      <c r="FF8" t="e">
        <f>AND(ZORUNLU!#REF!,"AAAAAHevX6E=")</f>
        <v>#REF!</v>
      </c>
      <c r="FG8" t="e">
        <f>AND(ZORUNLU!#REF!,"AAAAAHevX6I=")</f>
        <v>#REF!</v>
      </c>
      <c r="FH8" t="e">
        <f>AND(ZORUNLU!#REF!,"AAAAAHevX6M=")</f>
        <v>#REF!</v>
      </c>
      <c r="FI8" t="e">
        <f>AND(ZORUNLU!#REF!,"AAAAAHevX6Q=")</f>
        <v>#REF!</v>
      </c>
      <c r="FJ8" t="e">
        <f>AND(ZORUNLU!#REF!,"AAAAAHevX6U=")</f>
        <v>#REF!</v>
      </c>
      <c r="FK8" t="e">
        <f>AND(ZORUNLU!#REF!,"AAAAAHevX6Y=")</f>
        <v>#REF!</v>
      </c>
      <c r="FL8" t="e">
        <f>AND(ZORUNLU!#REF!,"AAAAAHevX6c=")</f>
        <v>#REF!</v>
      </c>
      <c r="FM8" t="e">
        <f>AND(ZORUNLU!#REF!,"AAAAAHevX6g=")</f>
        <v>#REF!</v>
      </c>
      <c r="FN8" t="e">
        <f>AND(ZORUNLU!#REF!,"AAAAAHevX6k=")</f>
        <v>#REF!</v>
      </c>
      <c r="FO8" t="e">
        <f>AND(ZORUNLU!#REF!,"AAAAAHevX6o=")</f>
        <v>#REF!</v>
      </c>
      <c r="FP8" t="e">
        <f>AND(ZORUNLU!#REF!,"AAAAAHevX6s=")</f>
        <v>#REF!</v>
      </c>
      <c r="FQ8" t="e">
        <f>AND(ZORUNLU!#REF!,"AAAAAHevX6w=")</f>
        <v>#REF!</v>
      </c>
      <c r="FR8" t="e">
        <f>AND(ZORUNLU!#REF!,"AAAAAHevX60=")</f>
        <v>#REF!</v>
      </c>
      <c r="FS8" t="e">
        <f>AND(ZORUNLU!#REF!,"AAAAAHevX64=")</f>
        <v>#REF!</v>
      </c>
      <c r="FT8" t="e">
        <f>AND(ZORUNLU!#REF!,"AAAAAHevX68=")</f>
        <v>#REF!</v>
      </c>
      <c r="FU8" t="e">
        <f>AND(ZORUNLU!#REF!,"AAAAAHevX7A=")</f>
        <v>#REF!</v>
      </c>
      <c r="FV8" t="e">
        <f>AND(ZORUNLU!#REF!,"AAAAAHevX7E=")</f>
        <v>#REF!</v>
      </c>
      <c r="FW8" t="e">
        <f>AND(ZORUNLU!#REF!,"AAAAAHevX7I=")</f>
        <v>#REF!</v>
      </c>
      <c r="FX8" t="e">
        <f>AND(ZORUNLU!#REF!,"AAAAAHevX7M=")</f>
        <v>#REF!</v>
      </c>
      <c r="FY8" t="e">
        <f>AND(ZORUNLU!#REF!,"AAAAAHevX7Q=")</f>
        <v>#REF!</v>
      </c>
      <c r="FZ8" t="e">
        <f>AND(ZORUNLU!#REF!,"AAAAAHevX7U=")</f>
        <v>#REF!</v>
      </c>
      <c r="GA8" t="e">
        <f>AND(ZORUNLU!#REF!,"AAAAAHevX7Y=")</f>
        <v>#REF!</v>
      </c>
      <c r="GB8" t="e">
        <f>AND(ZORUNLU!#REF!,"AAAAAHevX7c=")</f>
        <v>#REF!</v>
      </c>
      <c r="GC8" t="e">
        <f>AND(ZORUNLU!#REF!,"AAAAAHevX7g=")</f>
        <v>#REF!</v>
      </c>
      <c r="GD8" t="e">
        <f>AND(ZORUNLU!#REF!,"AAAAAHevX7k=")</f>
        <v>#REF!</v>
      </c>
      <c r="GE8" t="e">
        <f>AND(ZORUNLU!#REF!,"AAAAAHevX7o=")</f>
        <v>#REF!</v>
      </c>
      <c r="GF8" t="e">
        <f>AND(ZORUNLU!#REF!,"AAAAAHevX7s=")</f>
        <v>#REF!</v>
      </c>
      <c r="GG8" t="e">
        <f>AND(ZORUNLU!#REF!,"AAAAAHevX7w=")</f>
        <v>#REF!</v>
      </c>
      <c r="GH8" t="e">
        <f>AND(ZORUNLU!#REF!,"AAAAAHevX70=")</f>
        <v>#REF!</v>
      </c>
      <c r="GI8" t="e">
        <f>AND(ZORUNLU!#REF!,"AAAAAHevX74=")</f>
        <v>#REF!</v>
      </c>
      <c r="GJ8" t="e">
        <f>AND(ZORUNLU!#REF!,"AAAAAHevX78=")</f>
        <v>#REF!</v>
      </c>
      <c r="GK8" t="e">
        <f>AND(ZORUNLU!#REF!,"AAAAAHevX8A=")</f>
        <v>#REF!</v>
      </c>
      <c r="GL8" t="e">
        <f>AND(ZORUNLU!#REF!,"AAAAAHevX8E=")</f>
        <v>#REF!</v>
      </c>
      <c r="GM8" t="e">
        <f>AND(ZORUNLU!#REF!,"AAAAAHevX8I=")</f>
        <v>#REF!</v>
      </c>
      <c r="GN8" t="e">
        <f>AND(ZORUNLU!#REF!,"AAAAAHevX8M=")</f>
        <v>#REF!</v>
      </c>
      <c r="GO8" t="e">
        <f>AND(ZORUNLU!#REF!,"AAAAAHevX8Q=")</f>
        <v>#REF!</v>
      </c>
      <c r="GP8" t="e">
        <f>AND(ZORUNLU!#REF!,"AAAAAHevX8U=")</f>
        <v>#REF!</v>
      </c>
      <c r="GQ8" t="e">
        <f>AND(ZORUNLU!#REF!,"AAAAAHevX8Y=")</f>
        <v>#REF!</v>
      </c>
      <c r="GR8" t="e">
        <f>AND(ZORUNLU!#REF!,"AAAAAHevX8c=")</f>
        <v>#REF!</v>
      </c>
      <c r="GS8" t="e">
        <f>AND(ZORUNLU!#REF!,"AAAAAHevX8g=")</f>
        <v>#REF!</v>
      </c>
      <c r="GT8" t="e">
        <f>AND(ZORUNLU!#REF!,"AAAAAHevX8k=")</f>
        <v>#REF!</v>
      </c>
      <c r="GU8" t="e">
        <f>AND(ZORUNLU!#REF!,"AAAAAHevX8o=")</f>
        <v>#REF!</v>
      </c>
      <c r="GV8" t="e">
        <f>AND(ZORUNLU!#REF!,"AAAAAHevX8s=")</f>
        <v>#REF!</v>
      </c>
      <c r="GW8" t="e">
        <f>AND(ZORUNLU!#REF!,"AAAAAHevX8w=")</f>
        <v>#REF!</v>
      </c>
      <c r="GX8" t="e">
        <f>AND(ZORUNLU!#REF!,"AAAAAHevX80=")</f>
        <v>#REF!</v>
      </c>
      <c r="GY8" t="e">
        <f>AND(ZORUNLU!#REF!,"AAAAAHevX84=")</f>
        <v>#REF!</v>
      </c>
      <c r="GZ8" t="e">
        <f>AND(ZORUNLU!#REF!,"AAAAAHevX88=")</f>
        <v>#REF!</v>
      </c>
      <c r="HA8" t="e">
        <f>AND(ZORUNLU!#REF!,"AAAAAHevX9A=")</f>
        <v>#REF!</v>
      </c>
      <c r="HB8" t="e">
        <f>AND(ZORUNLU!#REF!,"AAAAAHevX9E=")</f>
        <v>#REF!</v>
      </c>
      <c r="HC8" t="e">
        <f>AND(ZORUNLU!#REF!,"AAAAAHevX9I=")</f>
        <v>#REF!</v>
      </c>
      <c r="HD8" t="e">
        <f>AND(ZORUNLU!#REF!,"AAAAAHevX9M=")</f>
        <v>#REF!</v>
      </c>
      <c r="HE8" t="e">
        <f>AND(ZORUNLU!#REF!,"AAAAAHevX9Q=")</f>
        <v>#REF!</v>
      </c>
      <c r="HF8" t="e">
        <f>AND(ZORUNLU!#REF!,"AAAAAHevX9U=")</f>
        <v>#REF!</v>
      </c>
      <c r="HG8" t="e">
        <f>AND(ZORUNLU!#REF!,"AAAAAHevX9Y=")</f>
        <v>#REF!</v>
      </c>
      <c r="HH8" t="e">
        <f>AND(ZORUNLU!#REF!,"AAAAAHevX9c=")</f>
        <v>#REF!</v>
      </c>
      <c r="HI8" t="e">
        <f>AND(ZORUNLU!#REF!,"AAAAAHevX9g=")</f>
        <v>#REF!</v>
      </c>
      <c r="HJ8" t="e">
        <f>AND(ZORUNLU!#REF!,"AAAAAHevX9k=")</f>
        <v>#REF!</v>
      </c>
      <c r="HK8" t="e">
        <f>AND(ZORUNLU!#REF!,"AAAAAHevX9o=")</f>
        <v>#REF!</v>
      </c>
      <c r="HL8" t="e">
        <f>AND(ZORUNLU!#REF!,"AAAAAHevX9s=")</f>
        <v>#REF!</v>
      </c>
      <c r="HM8" t="e">
        <f>AND(ZORUNLU!#REF!,"AAAAAHevX9w=")</f>
        <v>#REF!</v>
      </c>
      <c r="HN8" t="e">
        <f>AND(ZORUNLU!#REF!,"AAAAAHevX90=")</f>
        <v>#REF!</v>
      </c>
      <c r="HO8" t="e">
        <f>AND(ZORUNLU!#REF!,"AAAAAHevX94=")</f>
        <v>#REF!</v>
      </c>
      <c r="HP8" t="e">
        <f>AND(ZORUNLU!#REF!,"AAAAAHevX98=")</f>
        <v>#REF!</v>
      </c>
      <c r="HQ8" t="e">
        <f>AND(ZORUNLU!#REF!,"AAAAAHevX+A=")</f>
        <v>#REF!</v>
      </c>
      <c r="HR8" t="e">
        <f>AND(ZORUNLU!#REF!,"AAAAAHevX+E=")</f>
        <v>#REF!</v>
      </c>
      <c r="HS8" t="e">
        <f>AND(ZORUNLU!#REF!,"AAAAAHevX+I=")</f>
        <v>#REF!</v>
      </c>
      <c r="HT8" t="e">
        <f>AND(ZORUNLU!#REF!,"AAAAAHevX+M=")</f>
        <v>#REF!</v>
      </c>
      <c r="HU8" t="e">
        <f>AND(ZORUNLU!#REF!,"AAAAAHevX+Q=")</f>
        <v>#REF!</v>
      </c>
      <c r="HV8" t="e">
        <f>AND(ZORUNLU!#REF!,"AAAAAHevX+U=")</f>
        <v>#REF!</v>
      </c>
      <c r="HW8" t="e">
        <f>AND(ZORUNLU!#REF!,"AAAAAHevX+Y=")</f>
        <v>#REF!</v>
      </c>
      <c r="HX8" t="e">
        <f>AND(ZORUNLU!#REF!,"AAAAAHevX+c=")</f>
        <v>#REF!</v>
      </c>
      <c r="HY8" t="e">
        <f>AND(ZORUNLU!#REF!,"AAAAAHevX+g=")</f>
        <v>#REF!</v>
      </c>
      <c r="HZ8" t="e">
        <f>AND(ZORUNLU!#REF!,"AAAAAHevX+k=")</f>
        <v>#REF!</v>
      </c>
      <c r="IA8" t="e">
        <f>AND(ZORUNLU!#REF!,"AAAAAHevX+o=")</f>
        <v>#REF!</v>
      </c>
      <c r="IB8" t="e">
        <f>AND(ZORUNLU!#REF!,"AAAAAHevX+s=")</f>
        <v>#REF!</v>
      </c>
      <c r="IC8" t="e">
        <f>AND(ZORUNLU!#REF!,"AAAAAHevX+w=")</f>
        <v>#REF!</v>
      </c>
      <c r="ID8" t="e">
        <f>AND(ZORUNLU!#REF!,"AAAAAHevX+0=")</f>
        <v>#REF!</v>
      </c>
      <c r="IE8" t="e">
        <f>AND(ZORUNLU!#REF!,"AAAAAHevX+4=")</f>
        <v>#REF!</v>
      </c>
      <c r="IF8" t="e">
        <f>AND(ZORUNLU!#REF!,"AAAAAHevX+8=")</f>
        <v>#REF!</v>
      </c>
      <c r="IG8" t="e">
        <f>AND(ZORUNLU!#REF!,"AAAAAHevX/A=")</f>
        <v>#REF!</v>
      </c>
      <c r="IH8" t="e">
        <f>AND(ZORUNLU!#REF!,"AAAAAHevX/E=")</f>
        <v>#REF!</v>
      </c>
      <c r="II8" t="e">
        <f>AND(ZORUNLU!#REF!,"AAAAAHevX/I=")</f>
        <v>#REF!</v>
      </c>
      <c r="IJ8" t="e">
        <f>AND(ZORUNLU!#REF!,"AAAAAHevX/M=")</f>
        <v>#REF!</v>
      </c>
      <c r="IK8" t="e">
        <f>AND(ZORUNLU!#REF!,"AAAAAHevX/Q=")</f>
        <v>#REF!</v>
      </c>
      <c r="IL8" t="e">
        <f>AND(ZORUNLU!#REF!,"AAAAAHevX/U=")</f>
        <v>#REF!</v>
      </c>
      <c r="IM8" t="e">
        <f>AND(ZORUNLU!#REF!,"AAAAAHevX/Y=")</f>
        <v>#REF!</v>
      </c>
      <c r="IN8" t="e">
        <f>AND(ZORUNLU!#REF!,"AAAAAHevX/c=")</f>
        <v>#REF!</v>
      </c>
      <c r="IO8" t="e">
        <f>AND(ZORUNLU!#REF!,"AAAAAHevX/g=")</f>
        <v>#REF!</v>
      </c>
      <c r="IP8" t="e">
        <f>AND(ZORUNLU!#REF!,"AAAAAHevX/k=")</f>
        <v>#REF!</v>
      </c>
      <c r="IQ8" t="e">
        <f>AND(ZORUNLU!#REF!,"AAAAAHevX/o=")</f>
        <v>#REF!</v>
      </c>
      <c r="IR8" t="e">
        <f>AND(ZORUNLU!#REF!,"AAAAAHevX/s=")</f>
        <v>#REF!</v>
      </c>
      <c r="IS8" t="e">
        <f>AND(ZORUNLU!#REF!,"AAAAAHevX/w=")</f>
        <v>#REF!</v>
      </c>
      <c r="IT8" t="e">
        <f>AND(ZORUNLU!#REF!,"AAAAAHevX/0=")</f>
        <v>#REF!</v>
      </c>
      <c r="IU8" t="e">
        <f>AND(ZORUNLU!#REF!,"AAAAAHevX/4=")</f>
        <v>#REF!</v>
      </c>
      <c r="IV8" t="e">
        <f>AND(ZORUNLU!#REF!,"AAAAAHevX/8=")</f>
        <v>#REF!</v>
      </c>
    </row>
    <row r="9" spans="1:256" x14ac:dyDescent="0.25">
      <c r="A9" t="e">
        <f>AND(ZORUNLU!#REF!,"AAAAAHftfwA=")</f>
        <v>#REF!</v>
      </c>
      <c r="B9" t="e">
        <f>AND(ZORUNLU!#REF!,"AAAAAHftfwE=")</f>
        <v>#REF!</v>
      </c>
      <c r="C9" t="e">
        <f>AND(ZORUNLU!#REF!,"AAAAAHftfwI=")</f>
        <v>#REF!</v>
      </c>
      <c r="D9" t="e">
        <f>AND(ZORUNLU!#REF!,"AAAAAHftfwM=")</f>
        <v>#REF!</v>
      </c>
      <c r="E9" t="e">
        <f>AND(ZORUNLU!#REF!,"AAAAAHftfwQ=")</f>
        <v>#REF!</v>
      </c>
      <c r="F9" t="e">
        <f>AND(ZORUNLU!#REF!,"AAAAAHftfwU=")</f>
        <v>#REF!</v>
      </c>
      <c r="G9" t="e">
        <f>AND(ZORUNLU!#REF!,"AAAAAHftfwY=")</f>
        <v>#REF!</v>
      </c>
      <c r="H9" t="e">
        <f>AND(ZORUNLU!#REF!,"AAAAAHftfwc=")</f>
        <v>#REF!</v>
      </c>
      <c r="I9" t="e">
        <f>AND(ZORUNLU!#REF!,"AAAAAHftfwg=")</f>
        <v>#REF!</v>
      </c>
      <c r="J9" t="e">
        <f>AND(ZORUNLU!#REF!,"AAAAAHftfwk=")</f>
        <v>#REF!</v>
      </c>
      <c r="K9" t="e">
        <f>AND(ZORUNLU!#REF!,"AAAAAHftfwo=")</f>
        <v>#REF!</v>
      </c>
      <c r="L9" t="e">
        <f>AND(ZORUNLU!#REF!,"AAAAAHftfws=")</f>
        <v>#REF!</v>
      </c>
      <c r="M9" t="e">
        <f>AND(ZORUNLU!#REF!,"AAAAAHftfww=")</f>
        <v>#REF!</v>
      </c>
      <c r="N9" t="e">
        <f>AND(ZORUNLU!#REF!,"AAAAAHftfw0=")</f>
        <v>#REF!</v>
      </c>
      <c r="O9" t="e">
        <f>AND(ZORUNLU!#REF!,"AAAAAHftfw4=")</f>
        <v>#REF!</v>
      </c>
      <c r="P9" t="e">
        <f>AND(ZORUNLU!#REF!,"AAAAAHftfw8=")</f>
        <v>#REF!</v>
      </c>
      <c r="Q9" t="e">
        <f>AND(ZORUNLU!#REF!,"AAAAAHftfxA=")</f>
        <v>#REF!</v>
      </c>
      <c r="R9" t="e">
        <f>AND(ZORUNLU!#REF!,"AAAAAHftfxE=")</f>
        <v>#REF!</v>
      </c>
      <c r="S9" t="e">
        <f>AND(ZORUNLU!#REF!,"AAAAAHftfxI=")</f>
        <v>#REF!</v>
      </c>
      <c r="T9" t="e">
        <f>AND(ZORUNLU!#REF!,"AAAAAHftfxM=")</f>
        <v>#REF!</v>
      </c>
      <c r="U9" t="e">
        <f>AND(ZORUNLU!#REF!,"AAAAAHftfxQ=")</f>
        <v>#REF!</v>
      </c>
      <c r="V9" t="e">
        <f>AND(ZORUNLU!#REF!,"AAAAAHftfxU=")</f>
        <v>#REF!</v>
      </c>
      <c r="W9" t="e">
        <f>AND(ZORUNLU!#REF!,"AAAAAHftfxY=")</f>
        <v>#REF!</v>
      </c>
      <c r="X9" t="e">
        <f>AND(ZORUNLU!#REF!,"AAAAAHftfxc=")</f>
        <v>#REF!</v>
      </c>
      <c r="Y9" t="e">
        <f>AND(ZORUNLU!#REF!,"AAAAAHftfxg=")</f>
        <v>#REF!</v>
      </c>
      <c r="Z9" t="e">
        <f>AND(ZORUNLU!#REF!,"AAAAAHftfxk=")</f>
        <v>#REF!</v>
      </c>
      <c r="AA9" t="e">
        <f>AND(ZORUNLU!#REF!,"AAAAAHftfxo=")</f>
        <v>#REF!</v>
      </c>
      <c r="AB9" t="e">
        <f>AND(ZORUNLU!#REF!,"AAAAAHftfxs=")</f>
        <v>#REF!</v>
      </c>
      <c r="AC9" t="e">
        <f>AND(ZORUNLU!#REF!,"AAAAAHftfxw=")</f>
        <v>#REF!</v>
      </c>
      <c r="AD9" t="e">
        <f>AND(ZORUNLU!#REF!,"AAAAAHftfx0=")</f>
        <v>#REF!</v>
      </c>
      <c r="AE9" t="e">
        <f>AND(ZORUNLU!#REF!,"AAAAAHftfx4=")</f>
        <v>#REF!</v>
      </c>
      <c r="AF9" t="e">
        <f>AND(ZORUNLU!#REF!,"AAAAAHftfx8=")</f>
        <v>#REF!</v>
      </c>
      <c r="AG9" t="e">
        <f>AND(ZORUNLU!#REF!,"AAAAAHftfyA=")</f>
        <v>#REF!</v>
      </c>
      <c r="AH9" t="e">
        <f>AND(ZORUNLU!#REF!,"AAAAAHftfyE=")</f>
        <v>#REF!</v>
      </c>
      <c r="AI9" t="e">
        <f>AND(ZORUNLU!#REF!,"AAAAAHftfyI=")</f>
        <v>#REF!</v>
      </c>
      <c r="AJ9" t="e">
        <f>AND(ZORUNLU!#REF!,"AAAAAHftfyM=")</f>
        <v>#REF!</v>
      </c>
      <c r="AK9" t="e">
        <f>AND(ZORUNLU!#REF!,"AAAAAHftfyQ=")</f>
        <v>#REF!</v>
      </c>
      <c r="AL9" t="e">
        <f>AND(ZORUNLU!#REF!,"AAAAAHftfyU=")</f>
        <v>#REF!</v>
      </c>
      <c r="AM9" t="e">
        <f>AND(ZORUNLU!#REF!,"AAAAAHftfyY=")</f>
        <v>#REF!</v>
      </c>
      <c r="AN9" t="e">
        <f>AND(ZORUNLU!#REF!,"AAAAAHftfyc=")</f>
        <v>#REF!</v>
      </c>
      <c r="AO9" t="e">
        <f>AND(ZORUNLU!#REF!,"AAAAAHftfyg=")</f>
        <v>#REF!</v>
      </c>
      <c r="AP9" t="e">
        <f>AND(ZORUNLU!#REF!,"AAAAAHftfyk=")</f>
        <v>#REF!</v>
      </c>
      <c r="AQ9" t="e">
        <f>AND(ZORUNLU!#REF!,"AAAAAHftfyo=")</f>
        <v>#REF!</v>
      </c>
      <c r="AR9" t="e">
        <f>AND(ZORUNLU!#REF!,"AAAAAHftfys=")</f>
        <v>#REF!</v>
      </c>
      <c r="AS9" t="e">
        <f>AND(ZORUNLU!#REF!,"AAAAAHftfyw=")</f>
        <v>#REF!</v>
      </c>
      <c r="AT9" t="e">
        <f>AND(ZORUNLU!#REF!,"AAAAAHftfy0=")</f>
        <v>#REF!</v>
      </c>
      <c r="AU9" t="e">
        <f>AND(ZORUNLU!#REF!,"AAAAAHftfy4=")</f>
        <v>#REF!</v>
      </c>
      <c r="AV9" t="e">
        <f>AND(ZORUNLU!#REF!,"AAAAAHftfy8=")</f>
        <v>#REF!</v>
      </c>
      <c r="AW9" t="e">
        <f>AND(ZORUNLU!#REF!,"AAAAAHftfzA=")</f>
        <v>#REF!</v>
      </c>
      <c r="AX9" t="e">
        <f>AND(ZORUNLU!#REF!,"AAAAAHftfzE=")</f>
        <v>#REF!</v>
      </c>
      <c r="AY9" t="e">
        <f>AND(ZORUNLU!#REF!,"AAAAAHftfzI=")</f>
        <v>#REF!</v>
      </c>
      <c r="AZ9" t="e">
        <f>AND(ZORUNLU!#REF!,"AAAAAHftfzM=")</f>
        <v>#REF!</v>
      </c>
      <c r="BA9" t="e">
        <f>AND(ZORUNLU!#REF!,"AAAAAHftfzQ=")</f>
        <v>#REF!</v>
      </c>
      <c r="BB9" t="e">
        <f>AND(ZORUNLU!#REF!,"AAAAAHftfzU=")</f>
        <v>#REF!</v>
      </c>
      <c r="BC9" t="e">
        <f>AND(ZORUNLU!#REF!,"AAAAAHftfzY=")</f>
        <v>#REF!</v>
      </c>
      <c r="BD9" t="e">
        <f>AND(ZORUNLU!#REF!,"AAAAAHftfzc=")</f>
        <v>#REF!</v>
      </c>
      <c r="BE9" t="e">
        <f>AND(ZORUNLU!#REF!,"AAAAAHftfzg=")</f>
        <v>#REF!</v>
      </c>
      <c r="BF9" t="e">
        <f>AND(ZORUNLU!#REF!,"AAAAAHftfzk=")</f>
        <v>#REF!</v>
      </c>
      <c r="BG9" t="e">
        <f>AND(ZORUNLU!#REF!,"AAAAAHftfzo=")</f>
        <v>#REF!</v>
      </c>
      <c r="BH9" t="e">
        <f>AND(ZORUNLU!#REF!,"AAAAAHftfzs=")</f>
        <v>#REF!</v>
      </c>
      <c r="BI9" t="e">
        <f>AND(ZORUNLU!#REF!,"AAAAAHftfzw=")</f>
        <v>#REF!</v>
      </c>
      <c r="BJ9" t="e">
        <f>AND(ZORUNLU!#REF!,"AAAAAHftfz0=")</f>
        <v>#REF!</v>
      </c>
      <c r="BK9" t="e">
        <f>AND(ZORUNLU!#REF!,"AAAAAHftfz4=")</f>
        <v>#REF!</v>
      </c>
      <c r="BL9" t="e">
        <f>AND(ZORUNLU!#REF!,"AAAAAHftfz8=")</f>
        <v>#REF!</v>
      </c>
      <c r="BM9" t="e">
        <f>AND(ZORUNLU!#REF!,"AAAAAHftf0A=")</f>
        <v>#REF!</v>
      </c>
      <c r="BN9" t="e">
        <f>AND(ZORUNLU!#REF!,"AAAAAHftf0E=")</f>
        <v>#REF!</v>
      </c>
      <c r="BO9" t="e">
        <f>AND(ZORUNLU!#REF!,"AAAAAHftf0I=")</f>
        <v>#REF!</v>
      </c>
      <c r="BP9" t="e">
        <f>AND(ZORUNLU!#REF!,"AAAAAHftf0M=")</f>
        <v>#REF!</v>
      </c>
      <c r="BQ9" t="e">
        <f>AND(ZORUNLU!#REF!,"AAAAAHftf0Q=")</f>
        <v>#REF!</v>
      </c>
      <c r="BR9" t="e">
        <f>AND(ZORUNLU!#REF!,"AAAAAHftf0U=")</f>
        <v>#REF!</v>
      </c>
      <c r="BS9" t="e">
        <f>AND(ZORUNLU!#REF!,"AAAAAHftf0Y=")</f>
        <v>#REF!</v>
      </c>
      <c r="BT9" t="e">
        <f>AND(ZORUNLU!#REF!,"AAAAAHftf0c=")</f>
        <v>#REF!</v>
      </c>
      <c r="BU9" t="e">
        <f>AND(ZORUNLU!#REF!,"AAAAAHftf0g=")</f>
        <v>#REF!</v>
      </c>
      <c r="BV9" t="e">
        <f>AND(ZORUNLU!#REF!,"AAAAAHftf0k=")</f>
        <v>#REF!</v>
      </c>
      <c r="BW9" t="e">
        <f>AND(ZORUNLU!#REF!,"AAAAAHftf0o=")</f>
        <v>#REF!</v>
      </c>
      <c r="BX9" t="e">
        <f>AND(ZORUNLU!#REF!,"AAAAAHftf0s=")</f>
        <v>#REF!</v>
      </c>
      <c r="BY9" t="e">
        <f>AND(ZORUNLU!#REF!,"AAAAAHftf0w=")</f>
        <v>#REF!</v>
      </c>
      <c r="BZ9" t="e">
        <f>AND(ZORUNLU!S67,"AAAAAHftf00=")</f>
        <v>#VALUE!</v>
      </c>
      <c r="CA9" t="e">
        <f>AND(ZORUNLU!T67,"AAAAAHftf04=")</f>
        <v>#VALUE!</v>
      </c>
      <c r="CB9" t="e">
        <f>AND(ZORUNLU!U67,"AAAAAHftf08=")</f>
        <v>#VALUE!</v>
      </c>
      <c r="CC9" t="e">
        <f>AND(ZORUNLU!V67,"AAAAAHftf1A=")</f>
        <v>#VALUE!</v>
      </c>
      <c r="CD9" t="e">
        <f>AND(ZORUNLU!W67,"AAAAAHftf1E=")</f>
        <v>#VALUE!</v>
      </c>
      <c r="CE9" t="e">
        <f>AND(ZORUNLU!X67,"AAAAAHftf1I=")</f>
        <v>#VALUE!</v>
      </c>
      <c r="CF9" t="e">
        <f>AND(ZORUNLU!#REF!,"AAAAAHftf1M=")</f>
        <v>#REF!</v>
      </c>
      <c r="CG9" t="e">
        <f>AND(ZORUNLU!#REF!,"AAAAAHftf1Q=")</f>
        <v>#REF!</v>
      </c>
      <c r="CH9" t="e">
        <f>AND(ZORUNLU!#REF!,"AAAAAHftf1U=")</f>
        <v>#REF!</v>
      </c>
      <c r="CI9" t="e">
        <f>AND(ZORUNLU!#REF!,"AAAAAHftf1Y=")</f>
        <v>#REF!</v>
      </c>
      <c r="CJ9" t="e">
        <f>AND(ZORUNLU!#REF!,"AAAAAHftf1c=")</f>
        <v>#REF!</v>
      </c>
      <c r="CK9" t="e">
        <f>AND(ZORUNLU!#REF!,"AAAAAHftf1g=")</f>
        <v>#REF!</v>
      </c>
      <c r="CL9" t="e">
        <f>AND(ZORUNLU!#REF!,"AAAAAHftf1k=")</f>
        <v>#REF!</v>
      </c>
      <c r="CM9" t="e">
        <f>AND(ZORUNLU!#REF!,"AAAAAHftf1o=")</f>
        <v>#REF!</v>
      </c>
      <c r="CN9" t="e">
        <f>AND(ZORUNLU!#REF!,"AAAAAHftf1s=")</f>
        <v>#REF!</v>
      </c>
      <c r="CO9" t="e">
        <f>AND(ZORUNLU!#REF!,"AAAAAHftf1w=")</f>
        <v>#REF!</v>
      </c>
      <c r="CP9" t="e">
        <f>AND(ZORUNLU!#REF!,"AAAAAHftf10=")</f>
        <v>#REF!</v>
      </c>
      <c r="CQ9" t="e">
        <f>AND(ZORUNLU!S68,"AAAAAHftf14=")</f>
        <v>#VALUE!</v>
      </c>
      <c r="CR9" t="e">
        <f>AND(ZORUNLU!T68,"AAAAAHftf18=")</f>
        <v>#VALUE!</v>
      </c>
      <c r="CS9" t="e">
        <f>AND(ZORUNLU!U68,"AAAAAHftf2A=")</f>
        <v>#VALUE!</v>
      </c>
      <c r="CT9" t="e">
        <f>AND(ZORUNLU!V68,"AAAAAHftf2E=")</f>
        <v>#VALUE!</v>
      </c>
      <c r="CU9" t="e">
        <f>AND(ZORUNLU!W68,"AAAAAHftf2I=")</f>
        <v>#VALUE!</v>
      </c>
      <c r="CV9" t="e">
        <f>AND(ZORUNLU!X68,"AAAAAHftf2M=")</f>
        <v>#VALUE!</v>
      </c>
      <c r="CW9" t="e">
        <f>AND(ZORUNLU!#REF!,"AAAAAHftf2Q=")</f>
        <v>#REF!</v>
      </c>
      <c r="CX9" t="e">
        <f>AND(ZORUNLU!#REF!,"AAAAAHftf2U=")</f>
        <v>#REF!</v>
      </c>
      <c r="CY9" t="e">
        <f>AND(ZORUNLU!#REF!,"AAAAAHftf2Y=")</f>
        <v>#REF!</v>
      </c>
      <c r="CZ9" t="e">
        <f>AND(ZORUNLU!#REF!,"AAAAAHftf2c=")</f>
        <v>#REF!</v>
      </c>
      <c r="DA9" t="e">
        <f>AND(ZORUNLU!#REF!,"AAAAAHftf2g=")</f>
        <v>#REF!</v>
      </c>
      <c r="DB9" t="e">
        <f>AND(ZORUNLU!#REF!,"AAAAAHftf2k=")</f>
        <v>#REF!</v>
      </c>
      <c r="DC9" t="e">
        <f>AND(ZORUNLU!#REF!,"AAAAAHftf2o=")</f>
        <v>#REF!</v>
      </c>
      <c r="DD9" t="e">
        <f>AND(ZORUNLU!#REF!,"AAAAAHftf2s=")</f>
        <v>#REF!</v>
      </c>
      <c r="DE9" t="e">
        <f>AND(ZORUNLU!#REF!,"AAAAAHftf2w=")</f>
        <v>#REF!</v>
      </c>
      <c r="DF9" t="e">
        <f>AND(ZORUNLU!#REF!,"AAAAAHftf20=")</f>
        <v>#REF!</v>
      </c>
      <c r="DG9" t="e">
        <f>AND(ZORUNLU!#REF!,"AAAAAHftf24=")</f>
        <v>#REF!</v>
      </c>
      <c r="DH9" t="e">
        <f>AND(ZORUNLU!#REF!,"AAAAAHftf28=")</f>
        <v>#REF!</v>
      </c>
      <c r="DI9" t="e">
        <f>AND(ZORUNLU!#REF!,"AAAAAHftf3A=")</f>
        <v>#REF!</v>
      </c>
      <c r="DJ9" t="e">
        <f>AND(ZORUNLU!#REF!,"AAAAAHftf3E=")</f>
        <v>#REF!</v>
      </c>
      <c r="DK9" t="e">
        <f>AND(ZORUNLU!#REF!,"AAAAAHftf3I=")</f>
        <v>#REF!</v>
      </c>
      <c r="DL9" t="e">
        <f>AND(ZORUNLU!#REF!,"AAAAAHftf3M=")</f>
        <v>#REF!</v>
      </c>
      <c r="DM9" t="e">
        <f>AND(ZORUNLU!#REF!,"AAAAAHftf3Q=")</f>
        <v>#REF!</v>
      </c>
      <c r="DN9" t="e">
        <f>AND(ZORUNLU!#REF!,"AAAAAHftf3U=")</f>
        <v>#REF!</v>
      </c>
      <c r="DO9" t="e">
        <f>AND(ZORUNLU!#REF!,"AAAAAHftf3Y=")</f>
        <v>#REF!</v>
      </c>
      <c r="DP9" t="e">
        <f>AND(ZORUNLU!#REF!,"AAAAAHftf3c=")</f>
        <v>#REF!</v>
      </c>
      <c r="DQ9" t="e">
        <f>AND(ZORUNLU!#REF!,"AAAAAHftf3g=")</f>
        <v>#REF!</v>
      </c>
      <c r="DR9" t="e">
        <f>AND(ZORUNLU!#REF!,"AAAAAHftf3k=")</f>
        <v>#REF!</v>
      </c>
      <c r="DS9" t="e">
        <f>AND(ZORUNLU!#REF!,"AAAAAHftf3o=")</f>
        <v>#REF!</v>
      </c>
      <c r="DT9" t="e">
        <f>AND(ZORUNLU!#REF!,"AAAAAHftf3s=")</f>
        <v>#REF!</v>
      </c>
      <c r="DU9" t="e">
        <f>AND(ZORUNLU!#REF!,"AAAAAHftf3w=")</f>
        <v>#REF!</v>
      </c>
      <c r="DV9" t="e">
        <f>AND(ZORUNLU!#REF!,"AAAAAHftf30=")</f>
        <v>#REF!</v>
      </c>
      <c r="DW9" t="e">
        <f>AND(ZORUNLU!#REF!,"AAAAAHftf34=")</f>
        <v>#REF!</v>
      </c>
      <c r="DX9" t="e">
        <f>AND(ZORUNLU!#REF!,"AAAAAHftf38=")</f>
        <v>#REF!</v>
      </c>
      <c r="DY9" t="e">
        <f>AND(ZORUNLU!#REF!,"AAAAAHftf4A=")</f>
        <v>#REF!</v>
      </c>
      <c r="DZ9" t="e">
        <f>AND(ZORUNLU!#REF!,"AAAAAHftf4E=")</f>
        <v>#REF!</v>
      </c>
      <c r="EA9" t="e">
        <f>AND(ZORUNLU!#REF!,"AAAAAHftf4I=")</f>
        <v>#REF!</v>
      </c>
      <c r="EB9" t="e">
        <f>AND(ZORUNLU!#REF!,"AAAAAHftf4M=")</f>
        <v>#REF!</v>
      </c>
      <c r="EC9" t="e">
        <f>AND(ZORUNLU!#REF!,"AAAAAHftf4Q=")</f>
        <v>#REF!</v>
      </c>
      <c r="ED9" t="e">
        <f>AND(ZORUNLU!#REF!,"AAAAAHftf4U=")</f>
        <v>#REF!</v>
      </c>
      <c r="EE9" t="e">
        <f>AND(ZORUNLU!#REF!,"AAAAAHftf4Y=")</f>
        <v>#REF!</v>
      </c>
      <c r="EF9" t="e">
        <f>AND(ZORUNLU!#REF!,"AAAAAHftf4c=")</f>
        <v>#REF!</v>
      </c>
      <c r="EG9" t="e">
        <f>AND(ZORUNLU!#REF!,"AAAAAHftf4g=")</f>
        <v>#REF!</v>
      </c>
      <c r="EH9" t="e">
        <f>AND(ZORUNLU!#REF!,"AAAAAHftf4k=")</f>
        <v>#REF!</v>
      </c>
      <c r="EI9" t="e">
        <f>AND(ZORUNLU!#REF!,"AAAAAHftf4o=")</f>
        <v>#REF!</v>
      </c>
      <c r="EJ9" t="e">
        <f>AND(ZORUNLU!#REF!,"AAAAAHftf4s=")</f>
        <v>#REF!</v>
      </c>
      <c r="EK9" t="e">
        <f>AND(ZORUNLU!#REF!,"AAAAAHftf4w=")</f>
        <v>#REF!</v>
      </c>
      <c r="EL9" t="e">
        <f>AND(ZORUNLU!#REF!,"AAAAAHftf40=")</f>
        <v>#REF!</v>
      </c>
      <c r="EM9" t="e">
        <f>AND(ZORUNLU!#REF!,"AAAAAHftf44=")</f>
        <v>#REF!</v>
      </c>
      <c r="EN9" t="e">
        <f>AND(ZORUNLU!#REF!,"AAAAAHftf48=")</f>
        <v>#REF!</v>
      </c>
      <c r="EO9" t="e">
        <f>AND(ZORUNLU!#REF!,"AAAAAHftf5A=")</f>
        <v>#REF!</v>
      </c>
      <c r="EP9" t="e">
        <f>AND(ZORUNLU!S70,"AAAAAHftf5E=")</f>
        <v>#VALUE!</v>
      </c>
      <c r="EQ9" t="e">
        <f>AND(ZORUNLU!T70,"AAAAAHftf5I=")</f>
        <v>#VALUE!</v>
      </c>
      <c r="ER9" t="e">
        <f>AND(ZORUNLU!U70,"AAAAAHftf5M=")</f>
        <v>#VALUE!</v>
      </c>
      <c r="ES9" t="e">
        <f>AND(ZORUNLU!V70,"AAAAAHftf5Q=")</f>
        <v>#VALUE!</v>
      </c>
      <c r="ET9" t="e">
        <f>AND(ZORUNLU!W70,"AAAAAHftf5U=")</f>
        <v>#VALUE!</v>
      </c>
      <c r="EU9" t="e">
        <f>AND(ZORUNLU!X70,"AAAAAHftf5Y=")</f>
        <v>#VALUE!</v>
      </c>
      <c r="EV9" t="e">
        <f>AND(ZORUNLU!#REF!,"AAAAAHftf5c=")</f>
        <v>#REF!</v>
      </c>
      <c r="EW9" t="e">
        <f>AND(ZORUNLU!#REF!,"AAAAAHftf5g=")</f>
        <v>#REF!</v>
      </c>
      <c r="EX9" t="e">
        <f>AND(ZORUNLU!#REF!,"AAAAAHftf5k=")</f>
        <v>#REF!</v>
      </c>
      <c r="EY9" t="e">
        <f>AND(ZORUNLU!#REF!,"AAAAAHftf5o=")</f>
        <v>#REF!</v>
      </c>
      <c r="EZ9" t="e">
        <f>AND(ZORUNLU!#REF!,"AAAAAHftf5s=")</f>
        <v>#REF!</v>
      </c>
      <c r="FA9" t="e">
        <f>AND(ZORUNLU!#REF!,"AAAAAHftf5w=")</f>
        <v>#REF!</v>
      </c>
      <c r="FB9" t="e">
        <f>AND(ZORUNLU!#REF!,"AAAAAHftf50=")</f>
        <v>#REF!</v>
      </c>
      <c r="FC9" t="e">
        <f>AND(ZORUNLU!#REF!,"AAAAAHftf54=")</f>
        <v>#REF!</v>
      </c>
      <c r="FD9" t="e">
        <f>AND(ZORUNLU!#REF!,"AAAAAHftf58=")</f>
        <v>#REF!</v>
      </c>
      <c r="FE9" t="e">
        <f>AND(ZORUNLU!#REF!,"AAAAAHftf6A=")</f>
        <v>#REF!</v>
      </c>
      <c r="FF9" t="e">
        <f>AND(ZORUNLU!#REF!,"AAAAAHftf6E=")</f>
        <v>#REF!</v>
      </c>
      <c r="FG9" t="e">
        <f>AND(ZORUNLU!S71,"AAAAAHftf6I=")</f>
        <v>#VALUE!</v>
      </c>
      <c r="FH9" t="e">
        <f>AND(ZORUNLU!T71,"AAAAAHftf6M=")</f>
        <v>#VALUE!</v>
      </c>
      <c r="FI9" t="e">
        <f>AND(ZORUNLU!U71,"AAAAAHftf6Q=")</f>
        <v>#VALUE!</v>
      </c>
      <c r="FJ9" t="e">
        <f>AND(ZORUNLU!V71,"AAAAAHftf6U=")</f>
        <v>#VALUE!</v>
      </c>
      <c r="FK9" t="e">
        <f>AND(ZORUNLU!W71,"AAAAAHftf6Y=")</f>
        <v>#VALUE!</v>
      </c>
      <c r="FL9" t="e">
        <f>AND(ZORUNLU!X71,"AAAAAHftf6c=")</f>
        <v>#VALUE!</v>
      </c>
      <c r="FM9" t="e">
        <f>AND(ZORUNLU!#REF!,"AAAAAHftf6g=")</f>
        <v>#REF!</v>
      </c>
      <c r="FN9" t="e">
        <f>AND(ZORUNLU!#REF!,"AAAAAHftf6k=")</f>
        <v>#REF!</v>
      </c>
      <c r="FO9" t="e">
        <f>AND(ZORUNLU!#REF!,"AAAAAHftf6o=")</f>
        <v>#REF!</v>
      </c>
      <c r="FP9" t="e">
        <f>AND(ZORUNLU!#REF!,"AAAAAHftf6s=")</f>
        <v>#REF!</v>
      </c>
      <c r="FQ9" t="e">
        <f>AND(ZORUNLU!#REF!,"AAAAAHftf6w=")</f>
        <v>#REF!</v>
      </c>
      <c r="FR9" t="e">
        <f>AND(ZORUNLU!#REF!,"AAAAAHftf60=")</f>
        <v>#REF!</v>
      </c>
      <c r="FS9" t="e">
        <f>AND(ZORUNLU!#REF!,"AAAAAHftf64=")</f>
        <v>#REF!</v>
      </c>
      <c r="FT9" t="e">
        <f>AND(ZORUNLU!#REF!,"AAAAAHftf68=")</f>
        <v>#REF!</v>
      </c>
      <c r="FU9" t="e">
        <f>AND(ZORUNLU!#REF!,"AAAAAHftf7A=")</f>
        <v>#REF!</v>
      </c>
      <c r="FV9" t="e">
        <f>AND(ZORUNLU!#REF!,"AAAAAHftf7E=")</f>
        <v>#REF!</v>
      </c>
      <c r="FW9" t="e">
        <f>AND(ZORUNLU!#REF!,"AAAAAHftf7I=")</f>
        <v>#REF!</v>
      </c>
      <c r="FX9" t="e">
        <f>AND(ZORUNLU!S72,"AAAAAHftf7M=")</f>
        <v>#VALUE!</v>
      </c>
      <c r="FY9" t="e">
        <f>AND(ZORUNLU!T72,"AAAAAHftf7Q=")</f>
        <v>#VALUE!</v>
      </c>
      <c r="FZ9" t="e">
        <f>AND(ZORUNLU!U72,"AAAAAHftf7U=")</f>
        <v>#VALUE!</v>
      </c>
      <c r="GA9" t="e">
        <f>AND(ZORUNLU!V72,"AAAAAHftf7Y=")</f>
        <v>#VALUE!</v>
      </c>
      <c r="GB9" t="e">
        <f>AND(ZORUNLU!W72,"AAAAAHftf7c=")</f>
        <v>#VALUE!</v>
      </c>
      <c r="GC9" t="e">
        <f>AND(ZORUNLU!X72,"AAAAAHftf7g=")</f>
        <v>#VALUE!</v>
      </c>
      <c r="GD9" t="e">
        <f>AND(ZORUNLU!#REF!,"AAAAAHftf7k=")</f>
        <v>#REF!</v>
      </c>
      <c r="GE9" t="e">
        <f>AND(ZORUNLU!#REF!,"AAAAAHftf7o=")</f>
        <v>#REF!</v>
      </c>
      <c r="GF9" t="e">
        <f>AND(ZORUNLU!#REF!,"AAAAAHftf7s=")</f>
        <v>#REF!</v>
      </c>
      <c r="GG9" t="e">
        <f>AND(ZORUNLU!#REF!,"AAAAAHftf7w=")</f>
        <v>#REF!</v>
      </c>
      <c r="GH9" t="e">
        <f>AND(ZORUNLU!#REF!,"AAAAAHftf70=")</f>
        <v>#REF!</v>
      </c>
      <c r="GI9" t="e">
        <f>AND(ZORUNLU!#REF!,"AAAAAHftf74=")</f>
        <v>#REF!</v>
      </c>
      <c r="GJ9" t="e">
        <f>AND(ZORUNLU!#REF!,"AAAAAHftf78=")</f>
        <v>#REF!</v>
      </c>
      <c r="GK9" t="e">
        <f>AND(ZORUNLU!#REF!,"AAAAAHftf8A=")</f>
        <v>#REF!</v>
      </c>
      <c r="GL9" t="e">
        <f>AND(ZORUNLU!#REF!,"AAAAAHftf8E=")</f>
        <v>#REF!</v>
      </c>
      <c r="GM9" t="e">
        <f>AND(ZORUNLU!#REF!,"AAAAAHftf8I=")</f>
        <v>#REF!</v>
      </c>
      <c r="GN9" t="e">
        <f>AND(ZORUNLU!#REF!,"AAAAAHftf8M=")</f>
        <v>#REF!</v>
      </c>
      <c r="GO9" t="e">
        <f>AND(ZORUNLU!#REF!,"AAAAAHftf8Q=")</f>
        <v>#REF!</v>
      </c>
      <c r="GP9" t="e">
        <f>AND(ZORUNLU!#REF!,"AAAAAHftf8U=")</f>
        <v>#REF!</v>
      </c>
      <c r="GQ9" t="e">
        <f>AND(ZORUNLU!#REF!,"AAAAAHftf8Y=")</f>
        <v>#REF!</v>
      </c>
      <c r="GR9" t="e">
        <f>AND(ZORUNLU!#REF!,"AAAAAHftf8c=")</f>
        <v>#REF!</v>
      </c>
      <c r="GS9" t="e">
        <f>AND(ZORUNLU!#REF!,"AAAAAHftf8g=")</f>
        <v>#REF!</v>
      </c>
      <c r="GT9" t="e">
        <f>AND(ZORUNLU!#REF!,"AAAAAHftf8k=")</f>
        <v>#REF!</v>
      </c>
      <c r="GU9" t="e">
        <f>AND(SEÇMELİ!#REF!,"AAAAAHftf8o=")</f>
        <v>#REF!</v>
      </c>
      <c r="GV9" t="e">
        <f>AND(SEÇMELİ!#REF!,"AAAAAHftf8s=")</f>
        <v>#REF!</v>
      </c>
      <c r="GW9" t="e">
        <f>AND(SEÇMELİ!#REF!,"AAAAAHftf8w=")</f>
        <v>#REF!</v>
      </c>
      <c r="GX9" t="e">
        <f>AND(SEÇMELİ!#REF!,"AAAAAHftf80=")</f>
        <v>#REF!</v>
      </c>
      <c r="GY9" t="e">
        <f>AND(SEÇMELİ!#REF!,"AAAAAHftf84=")</f>
        <v>#REF!</v>
      </c>
      <c r="GZ9" t="e">
        <f>AND(SEÇMELİ!#REF!,"AAAAAHftf88=")</f>
        <v>#REF!</v>
      </c>
      <c r="HA9" t="e">
        <f>AND(SEÇMELİ!#REF!,"AAAAAHftf9A=")</f>
        <v>#REF!</v>
      </c>
      <c r="HB9" t="e">
        <f>AND(SEÇMELİ!#REF!,"AAAAAHftf9E=")</f>
        <v>#REF!</v>
      </c>
      <c r="HC9" t="e">
        <f>AND(SEÇMELİ!#REF!,"AAAAAHftf9I=")</f>
        <v>#REF!</v>
      </c>
      <c r="HD9" t="e">
        <f>AND(SEÇMELİ!#REF!,"AAAAAHftf9M=")</f>
        <v>#REF!</v>
      </c>
      <c r="HE9" t="e">
        <f>AND(SEÇMELİ!#REF!,"AAAAAHftf9Q=")</f>
        <v>#REF!</v>
      </c>
      <c r="HF9" t="e">
        <f>AND(SEÇMELİ!#REF!,"AAAAAHftf9U=")</f>
        <v>#REF!</v>
      </c>
      <c r="HG9" t="e">
        <f>AND(SEÇMELİ!#REF!,"AAAAAHftf9Y=")</f>
        <v>#REF!</v>
      </c>
      <c r="HH9" t="e">
        <f>AND(SEÇMELİ!#REF!,"AAAAAHftf9c=")</f>
        <v>#REF!</v>
      </c>
      <c r="HI9" t="e">
        <f>AND(SEÇMELİ!#REF!,"AAAAAHftf9g=")</f>
        <v>#REF!</v>
      </c>
      <c r="HJ9" t="e">
        <f>AND(SEÇMELİ!#REF!,"AAAAAHftf9k=")</f>
        <v>#REF!</v>
      </c>
      <c r="HK9" t="e">
        <f>AND(SEÇMELİ!#REF!,"AAAAAHftf9o=")</f>
        <v>#REF!</v>
      </c>
      <c r="HL9" t="e">
        <f>AND(SEÇMELİ!#REF!,"AAAAAHftf9s=")</f>
        <v>#REF!</v>
      </c>
      <c r="HM9" t="e">
        <f>AND(SEÇMELİ!#REF!,"AAAAAHftf9w=")</f>
        <v>#REF!</v>
      </c>
      <c r="HN9" t="e">
        <f>AND(SEÇMELİ!#REF!,"AAAAAHftf90=")</f>
        <v>#REF!</v>
      </c>
      <c r="HO9" t="e">
        <f>AND(SEÇMELİ!#REF!,"AAAAAHftf94=")</f>
        <v>#REF!</v>
      </c>
      <c r="HP9" t="e">
        <f>AND(SEÇMELİ!#REF!,"AAAAAHftf98=")</f>
        <v>#REF!</v>
      </c>
      <c r="HQ9" t="e">
        <f>AND(SEÇMELİ!#REF!,"AAAAAHftf+A=")</f>
        <v>#REF!</v>
      </c>
      <c r="HR9" t="e">
        <f>AND(SEÇMELİ!#REF!,"AAAAAHftf+E=")</f>
        <v>#REF!</v>
      </c>
      <c r="HS9" t="e">
        <f>AND(SEÇMELİ!#REF!,"AAAAAHftf+I=")</f>
        <v>#REF!</v>
      </c>
      <c r="HT9" t="e">
        <f>AND(SEÇMELİ!#REF!,"AAAAAHftf+M=")</f>
        <v>#REF!</v>
      </c>
      <c r="HU9" t="e">
        <f>AND(SEÇMELİ!#REF!,"AAAAAHftf+Q=")</f>
        <v>#REF!</v>
      </c>
      <c r="HV9" t="e">
        <f>AND(SEÇMELİ!#REF!,"AAAAAHftf+U=")</f>
        <v>#REF!</v>
      </c>
      <c r="HW9" t="e">
        <f>AND(SEÇMELİ!#REF!,"AAAAAHftf+Y=")</f>
        <v>#REF!</v>
      </c>
      <c r="HX9" t="e">
        <f>AND(SEÇMELİ!#REF!,"AAAAAHftf+c=")</f>
        <v>#REF!</v>
      </c>
      <c r="HY9" t="e">
        <f>AND(SEÇMELİ!#REF!,"AAAAAHftf+g=")</f>
        <v>#REF!</v>
      </c>
      <c r="HZ9" t="e">
        <f>AND(SEÇMELİ!#REF!,"AAAAAHftf+k=")</f>
        <v>#REF!</v>
      </c>
      <c r="IA9" t="e">
        <f>AND(SEÇMELİ!#REF!,"AAAAAHftf+o=")</f>
        <v>#REF!</v>
      </c>
      <c r="IB9" t="e">
        <f>AND(SEÇMELİ!#REF!,"AAAAAHftf+s=")</f>
        <v>#REF!</v>
      </c>
      <c r="IC9" t="e">
        <f>AND(SEÇMELİ!#REF!,"AAAAAHftf+w=")</f>
        <v>#REF!</v>
      </c>
      <c r="ID9" t="e">
        <f>AND(SEÇMELİ!#REF!,"AAAAAHftf+0=")</f>
        <v>#REF!</v>
      </c>
      <c r="IE9" t="e">
        <f>AND(SEÇMELİ!#REF!,"AAAAAHftf+4=")</f>
        <v>#REF!</v>
      </c>
      <c r="IF9" t="e">
        <f>AND(SEÇMELİ!#REF!,"AAAAAHftf+8=")</f>
        <v>#REF!</v>
      </c>
      <c r="IG9" t="e">
        <f>AND(SEÇMELİ!#REF!,"AAAAAHftf/A=")</f>
        <v>#REF!</v>
      </c>
      <c r="IH9" t="e">
        <f>AND(SEÇMELİ!#REF!,"AAAAAHftf/E=")</f>
        <v>#REF!</v>
      </c>
      <c r="II9" t="e">
        <f>AND(SEÇMELİ!#REF!,"AAAAAHftf/I=")</f>
        <v>#REF!</v>
      </c>
      <c r="IJ9" t="e">
        <f>AND(SEÇMELİ!#REF!,"AAAAAHftf/M=")</f>
        <v>#REF!</v>
      </c>
      <c r="IK9" t="e">
        <f>AND(SEÇMELİ!#REF!,"AAAAAHftf/Q=")</f>
        <v>#REF!</v>
      </c>
      <c r="IL9" t="e">
        <f>AND(SEÇMELİ!#REF!,"AAAAAHftf/U=")</f>
        <v>#REF!</v>
      </c>
      <c r="IM9" t="e">
        <f>AND(SEÇMELİ!#REF!,"AAAAAHftf/Y=")</f>
        <v>#REF!</v>
      </c>
      <c r="IN9" t="e">
        <f>AND(SEÇMELİ!#REF!,"AAAAAHftf/c=")</f>
        <v>#REF!</v>
      </c>
      <c r="IO9" t="e">
        <f>AND(SEÇMELİ!#REF!,"AAAAAHftf/g=")</f>
        <v>#REF!</v>
      </c>
      <c r="IP9" t="e">
        <f>AND(SEÇMELİ!#REF!,"AAAAAHftf/k=")</f>
        <v>#REF!</v>
      </c>
      <c r="IQ9" t="e">
        <f>AND(SEÇMELİ!#REF!,"AAAAAHftf/o=")</f>
        <v>#REF!</v>
      </c>
      <c r="IR9" t="e">
        <f>AND(SEÇMELİ!#REF!,"AAAAAHftf/s=")</f>
        <v>#REF!</v>
      </c>
      <c r="IS9" t="e">
        <f>AND(SEÇMELİ!#REF!,"AAAAAHftf/w=")</f>
        <v>#REF!</v>
      </c>
      <c r="IT9" t="e">
        <f>AND(SEÇMELİ!#REF!,"AAAAAHftf/0=")</f>
        <v>#REF!</v>
      </c>
      <c r="IU9" t="e">
        <f>AND(SEÇMELİ!#REF!,"AAAAAHftf/4=")</f>
        <v>#REF!</v>
      </c>
      <c r="IV9" t="e">
        <f>AND(SEÇMELİ!#REF!,"AAAAAHftf/8=")</f>
        <v>#REF!</v>
      </c>
    </row>
    <row r="10" spans="1:256" x14ac:dyDescent="0.25">
      <c r="A10" t="e">
        <f>AND(SEÇMELİ!#REF!,"AAAAAG9ffwA=")</f>
        <v>#REF!</v>
      </c>
      <c r="B10" t="e">
        <f>AND(SEÇMELİ!#REF!,"AAAAAG9ffwE=")</f>
        <v>#REF!</v>
      </c>
      <c r="C10" t="e">
        <f>AND(SEÇMELİ!#REF!,"AAAAAG9ffwI=")</f>
        <v>#REF!</v>
      </c>
      <c r="D10" t="e">
        <f>AND(SEÇMELİ!#REF!,"AAAAAG9ffwM=")</f>
        <v>#REF!</v>
      </c>
      <c r="E10" t="e">
        <f>AND(SEÇMELİ!#REF!,"AAAAAG9ffwQ=")</f>
        <v>#REF!</v>
      </c>
      <c r="F10" t="e">
        <f>AND(SEÇMELİ!#REF!,"AAAAAG9ffwU=")</f>
        <v>#REF!</v>
      </c>
      <c r="G10">
        <f>IF(ZORUNLU!W:W,"AAAAAG9ffwY=",0)</f>
        <v>0</v>
      </c>
      <c r="H10">
        <f>IF(ZORUNLU!X:X,"AAAAAG9ffwc=",0)</f>
        <v>0</v>
      </c>
      <c r="I10" t="e">
        <f>IF("N",ZORUNLU!_xlnm.Print_Area,"AAAAAG9ffwg=")</f>
        <v>#VALUE!</v>
      </c>
    </row>
    <row r="11" spans="1:256" x14ac:dyDescent="0.25">
      <c r="A11" t="e">
        <f>IF("N",ZORUNLU!_xlnm.Print_Area,"AAAAAH9/rwA=")</f>
        <v>#VALUE!</v>
      </c>
    </row>
    <row r="12" spans="1:256" x14ac:dyDescent="0.25">
      <c r="A12" t="e">
        <f>IF("N",ZORUNLU!_xlnm.Print_Area,"AAAAAH1znwA=")</f>
        <v>#VALUE!</v>
      </c>
    </row>
    <row r="13" spans="1:256" x14ac:dyDescent="0.25">
      <c r="A13" t="e">
        <f>IF("N",ZORUNLU!_xlnm.Print_Area,"AAAAAE+y9wA=")</f>
        <v>#VALUE!</v>
      </c>
    </row>
    <row r="14" spans="1:256" x14ac:dyDescent="0.25">
      <c r="A14" t="e">
        <f>AND(ZORUNLU!#REF!,"AAAAAFf81wA=")</f>
        <v>#REF!</v>
      </c>
      <c r="B14" t="e">
        <f>AND(ZORUNLU!#REF!,"AAAAAFf81wE=")</f>
        <v>#REF!</v>
      </c>
      <c r="C14" t="e">
        <f>AND(ZORUNLU!#REF!,"AAAAAFf81wI=")</f>
        <v>#REF!</v>
      </c>
      <c r="D14" t="e">
        <f>AND(ZORUNLU!#REF!,"AAAAAFf81wM=")</f>
        <v>#REF!</v>
      </c>
      <c r="E14" t="e">
        <f>AND(ZORUNLU!#REF!,"AAAAAFf81wQ=")</f>
        <v>#REF!</v>
      </c>
      <c r="F14" t="e">
        <f>AND(ZORUNLU!#REF!,"AAAAAFf81wU=")</f>
        <v>#REF!</v>
      </c>
      <c r="G14" t="e">
        <f>AND(ZORUNLU!#REF!,"AAAAAFf81wY=")</f>
        <v>#REF!</v>
      </c>
      <c r="H14" t="e">
        <f>AND(ZORUNLU!#REF!,"AAAAAFf81wc=")</f>
        <v>#REF!</v>
      </c>
      <c r="I14" t="e">
        <f>AND(ZORUNLU!#REF!,"AAAAAFf81wg=")</f>
        <v>#REF!</v>
      </c>
      <c r="J14" t="e">
        <f>AND(ZORUNLU!#REF!,"AAAAAFf81wk=")</f>
        <v>#REF!</v>
      </c>
      <c r="K14" t="e">
        <f>AND(ZORUNLU!#REF!,"AAAAAFf81wo=")</f>
        <v>#REF!</v>
      </c>
      <c r="L14" t="e">
        <f>AND(ZORUNLU!#REF!,"AAAAAFf81ws=")</f>
        <v>#REF!</v>
      </c>
      <c r="M14" t="e">
        <f>AND(ZORUNLU!#REF!,"AAAAAFf81ww=")</f>
        <v>#REF!</v>
      </c>
      <c r="N14" t="e">
        <f>AND(ZORUNLU!#REF!,"AAAAAFf81w0=")</f>
        <v>#REF!</v>
      </c>
      <c r="O14" t="e">
        <f>AND(ZORUNLU!#REF!,"AAAAAFf81w4=")</f>
        <v>#REF!</v>
      </c>
      <c r="P14" t="e">
        <f>AND(ZORUNLU!#REF!,"AAAAAFf81w8=")</f>
        <v>#REF!</v>
      </c>
      <c r="Q14" t="e">
        <f>AND(ZORUNLU!#REF!,"AAAAAFf81xA=")</f>
        <v>#REF!</v>
      </c>
      <c r="R14" t="e">
        <f>AND(ZORUNLU!S73,"AAAAAFf81xE=")</f>
        <v>#VALUE!</v>
      </c>
      <c r="S14" t="e">
        <f>AND(ZORUNLU!T73,"AAAAAFf81xI=")</f>
        <v>#VALUE!</v>
      </c>
      <c r="T14" t="e">
        <f>AND(ZORUNLU!U73,"AAAAAFf81xM=")</f>
        <v>#VALUE!</v>
      </c>
      <c r="U14" t="e">
        <f>AND(ZORUNLU!V73,"AAAAAFf81xQ=")</f>
        <v>#VALUE!</v>
      </c>
      <c r="V14" t="e">
        <f>AND(ZORUNLU!W73,"AAAAAFf81xU=")</f>
        <v>#VALUE!</v>
      </c>
      <c r="W14" t="e">
        <f>AND(ZORUNLU!X73,"AAAAAFf81xY=")</f>
        <v>#VALUE!</v>
      </c>
      <c r="X14" t="e">
        <f>AND(ZORUNLU!#REF!,"AAAAAFf81xc=")</f>
        <v>#REF!</v>
      </c>
      <c r="Y14" t="e">
        <f>AND(ZORUNLU!#REF!,"AAAAAFf81xg=")</f>
        <v>#REF!</v>
      </c>
      <c r="Z14" t="e">
        <f>AND(ZORUNLU!#REF!,"AAAAAFf81xk=")</f>
        <v>#REF!</v>
      </c>
      <c r="AA14" t="e">
        <f>AND(ZORUNLU!#REF!,"AAAAAFf81xo=")</f>
        <v>#REF!</v>
      </c>
      <c r="AB14" t="e">
        <f>AND(ZORUNLU!#REF!,"AAAAAFf81xs=")</f>
        <v>#REF!</v>
      </c>
      <c r="AC14" t="e">
        <f>AND(ZORUNLU!#REF!,"AAAAAFf81xw=")</f>
        <v>#REF!</v>
      </c>
      <c r="AD14" t="e">
        <f>AND(ZORUNLU!#REF!,"AAAAAFf81x0=")</f>
        <v>#REF!</v>
      </c>
      <c r="AE14" t="e">
        <f>AND(ZORUNLU!#REF!,"AAAAAFf81x4=")</f>
        <v>#REF!</v>
      </c>
      <c r="AF14" t="e">
        <f>AND(ZORUNLU!#REF!,"AAAAAFf81x8=")</f>
        <v>#REF!</v>
      </c>
      <c r="AG14" t="e">
        <f>AND(ZORUNLU!#REF!,"AAAAAFf81yA=")</f>
        <v>#REF!</v>
      </c>
      <c r="AH14" t="e">
        <f>AND(ZORUNLU!#REF!,"AAAAAFf81yE=")</f>
        <v>#REF!</v>
      </c>
      <c r="AI14" t="e">
        <f>AND(ZORUNLU!S74,"AAAAAFf81yI=")</f>
        <v>#VALUE!</v>
      </c>
      <c r="AJ14" t="e">
        <f>AND(ZORUNLU!T74,"AAAAAFf81yM=")</f>
        <v>#VALUE!</v>
      </c>
      <c r="AK14" t="e">
        <f>AND(ZORUNLU!U74,"AAAAAFf81yQ=")</f>
        <v>#VALUE!</v>
      </c>
      <c r="AL14" t="e">
        <f>AND(ZORUNLU!V74,"AAAAAFf81yU=")</f>
        <v>#VALUE!</v>
      </c>
      <c r="AM14" t="e">
        <f>AND(ZORUNLU!W74,"AAAAAFf81yY=")</f>
        <v>#VALUE!</v>
      </c>
      <c r="AN14" t="e">
        <f>AND(ZORUNLU!X74,"AAAAAFf81yc=")</f>
        <v>#VALUE!</v>
      </c>
      <c r="AO14" t="e">
        <f>AND(ZORUNLU!#REF!,"AAAAAFf81yg=")</f>
        <v>#REF!</v>
      </c>
      <c r="AP14" t="e">
        <f>AND(ZORUNLU!#REF!,"AAAAAFf81yk=")</f>
        <v>#REF!</v>
      </c>
      <c r="AQ14" t="e">
        <f>AND(ZORUNLU!#REF!,"AAAAAFf81yo=")</f>
        <v>#REF!</v>
      </c>
      <c r="AR14" t="e">
        <f>AND(ZORUNLU!#REF!,"AAAAAFf81ys=")</f>
        <v>#REF!</v>
      </c>
      <c r="AS14" t="e">
        <f>AND(ZORUNLU!#REF!,"AAAAAFf81yw=")</f>
        <v>#REF!</v>
      </c>
      <c r="AT14" t="e">
        <f>AND(ZORUNLU!#REF!,"AAAAAFf81y0=")</f>
        <v>#REF!</v>
      </c>
      <c r="AU14" t="e">
        <f>AND(ZORUNLU!#REF!,"AAAAAFf81y4=")</f>
        <v>#REF!</v>
      </c>
      <c r="AV14" t="e">
        <f>AND(ZORUNLU!#REF!,"AAAAAFf81y8=")</f>
        <v>#REF!</v>
      </c>
      <c r="AW14" t="e">
        <f>AND(ZORUNLU!#REF!,"AAAAAFf81zA=")</f>
        <v>#REF!</v>
      </c>
      <c r="AX14" t="e">
        <f>AND(ZORUNLU!#REF!,"AAAAAFf81zE=")</f>
        <v>#REF!</v>
      </c>
      <c r="AY14" t="e">
        <f>AND(ZORUNLU!#REF!,"AAAAAFf81zI=")</f>
        <v>#REF!</v>
      </c>
      <c r="AZ14" t="e">
        <f>AND(ZORUNLU!S75,"AAAAAFf81zM=")</f>
        <v>#VALUE!</v>
      </c>
      <c r="BA14" t="e">
        <f>AND(ZORUNLU!T75,"AAAAAFf81zQ=")</f>
        <v>#VALUE!</v>
      </c>
      <c r="BB14" t="e">
        <f>AND(ZORUNLU!U75,"AAAAAFf81zU=")</f>
        <v>#VALUE!</v>
      </c>
      <c r="BC14" t="e">
        <f>AND(ZORUNLU!V75,"AAAAAFf81zY=")</f>
        <v>#VALUE!</v>
      </c>
      <c r="BD14" t="e">
        <f>AND(ZORUNLU!W75,"AAAAAFf81zc=")</f>
        <v>#VALUE!</v>
      </c>
      <c r="BE14" t="e">
        <f>AND(ZORUNLU!X75,"AAAAAFf81zg=")</f>
        <v>#VALUE!</v>
      </c>
      <c r="BF14" t="e">
        <f>AND(ZORUNLU!H67,"AAAAAFf81zk=")</f>
        <v>#VALUE!</v>
      </c>
      <c r="BG14" t="e">
        <f>AND(ZORUNLU!#REF!,"AAAAAFf81zo=")</f>
        <v>#REF!</v>
      </c>
      <c r="BH14" t="e">
        <f>AND(ZORUNLU!#REF!,"AAAAAFf81zs=")</f>
        <v>#REF!</v>
      </c>
      <c r="BI14" t="e">
        <f>AND(ZORUNLU!#REF!,"AAAAAFf81zw=")</f>
        <v>#REF!</v>
      </c>
      <c r="BJ14" t="e">
        <f>AND(ZORUNLU!#REF!,"AAAAAFf81z0=")</f>
        <v>#REF!</v>
      </c>
      <c r="BK14" t="e">
        <f>AND(ZORUNLU!#REF!,"AAAAAFf81z4=")</f>
        <v>#REF!</v>
      </c>
      <c r="BL14" t="e">
        <f>AND(ZORUNLU!#REF!,"AAAAAFf81z8=")</f>
        <v>#REF!</v>
      </c>
      <c r="BM14" t="e">
        <f>AND(ZORUNLU!O70,"AAAAAFf810A=")</f>
        <v>#VALUE!</v>
      </c>
      <c r="BN14" t="e">
        <f>AND(ZORUNLU!P70,"AAAAAFf810E=")</f>
        <v>#VALUE!</v>
      </c>
      <c r="BO14" t="e">
        <f>AND(ZORUNLU!Q67,"AAAAAFf810I=")</f>
        <v>#VALUE!</v>
      </c>
      <c r="BP14" t="e">
        <f>AND(ZORUNLU!R67,"AAAAAFf810M=")</f>
        <v>#VALUE!</v>
      </c>
      <c r="BQ14" t="e">
        <f>AND(ZORUNLU!S76,"AAAAAFf810Q=")</f>
        <v>#VALUE!</v>
      </c>
      <c r="BR14" t="e">
        <f>AND(ZORUNLU!T76,"AAAAAFf810U=")</f>
        <v>#VALUE!</v>
      </c>
      <c r="BS14" t="e">
        <f>AND(ZORUNLU!U76,"AAAAAFf810Y=")</f>
        <v>#VALUE!</v>
      </c>
      <c r="BT14" t="e">
        <f>AND(ZORUNLU!V76,"AAAAAFf810c=")</f>
        <v>#VALUE!</v>
      </c>
      <c r="BU14" t="e">
        <f>AND(ZORUNLU!W76,"AAAAAFf810g=")</f>
        <v>#VALUE!</v>
      </c>
      <c r="BV14" t="e">
        <f>AND(ZORUNLU!X76,"AAAAAFf810k=")</f>
        <v>#VALUE!</v>
      </c>
      <c r="BW14" t="e">
        <f>AND(ZORUNLU!H68,"AAAAAFf810o=")</f>
        <v>#VALUE!</v>
      </c>
      <c r="BX14" t="e">
        <f>AND(ZORUNLU!#REF!,"AAAAAFf810s=")</f>
        <v>#REF!</v>
      </c>
      <c r="BY14" t="e">
        <f>AND(ZORUNLU!#REF!,"AAAAAFf810w=")</f>
        <v>#REF!</v>
      </c>
      <c r="BZ14" t="e">
        <f>AND(ZORUNLU!#REF!,"AAAAAFf8100=")</f>
        <v>#REF!</v>
      </c>
      <c r="CA14" t="e">
        <f>AND(ZORUNLU!#REF!,"AAAAAFf8104=")</f>
        <v>#REF!</v>
      </c>
      <c r="CB14" t="e">
        <f>AND(ZORUNLU!#REF!,"AAAAAFf8108=")</f>
        <v>#REF!</v>
      </c>
      <c r="CC14" t="e">
        <f>AND(ZORUNLU!#REF!,"AAAAAFf811A=")</f>
        <v>#REF!</v>
      </c>
      <c r="CD14" t="e">
        <f>AND(ZORUNLU!O71,"AAAAAFf811E=")</f>
        <v>#VALUE!</v>
      </c>
      <c r="CE14" t="e">
        <f>AND(ZORUNLU!P71,"AAAAAFf811I=")</f>
        <v>#VALUE!</v>
      </c>
      <c r="CF14" t="e">
        <f>AND(ZORUNLU!Q68,"AAAAAFf811M=")</f>
        <v>#VALUE!</v>
      </c>
      <c r="CG14" t="e">
        <f>AND(ZORUNLU!R68,"AAAAAFf811Q=")</f>
        <v>#VALUE!</v>
      </c>
      <c r="CH14" t="e">
        <f>AND(ZORUNLU!S77,"AAAAAFf811U=")</f>
        <v>#VALUE!</v>
      </c>
      <c r="CI14" t="e">
        <f>AND(ZORUNLU!T77,"AAAAAFf811Y=")</f>
        <v>#VALUE!</v>
      </c>
      <c r="CJ14" t="e">
        <f>AND(ZORUNLU!U77,"AAAAAFf811c=")</f>
        <v>#VALUE!</v>
      </c>
      <c r="CK14" t="e">
        <f>AND(ZORUNLU!V77,"AAAAAFf811g=")</f>
        <v>#VALUE!</v>
      </c>
      <c r="CL14" t="e">
        <f>AND(ZORUNLU!W77,"AAAAAFf811k=")</f>
        <v>#VALUE!</v>
      </c>
      <c r="CM14" t="e">
        <f>AND(ZORUNLU!X77,"AAAAAFf811o=")</f>
        <v>#VALUE!</v>
      </c>
      <c r="CN14" t="e">
        <f>AND(ZORUNLU!H69,"AAAAAFf811s=")</f>
        <v>#VALUE!</v>
      </c>
      <c r="CO14" t="e">
        <f>AND(ZORUNLU!#REF!,"AAAAAFf811w=")</f>
        <v>#REF!</v>
      </c>
      <c r="CP14" t="e">
        <f>AND(ZORUNLU!#REF!,"AAAAAFf8110=")</f>
        <v>#REF!</v>
      </c>
      <c r="CQ14" t="e">
        <f>AND(ZORUNLU!#REF!,"AAAAAFf8114=")</f>
        <v>#REF!</v>
      </c>
      <c r="CR14" t="e">
        <f>AND(ZORUNLU!#REF!,"AAAAAFf8118=")</f>
        <v>#REF!</v>
      </c>
      <c r="CS14" t="e">
        <f>AND(ZORUNLU!#REF!,"AAAAAFf812A=")</f>
        <v>#REF!</v>
      </c>
      <c r="CT14" t="e">
        <f>AND(ZORUNLU!#REF!,"AAAAAFf812E=")</f>
        <v>#REF!</v>
      </c>
      <c r="CU14" t="e">
        <f>AND(ZORUNLU!O72,"AAAAAFf812I=")</f>
        <v>#VALUE!</v>
      </c>
      <c r="CV14" t="e">
        <f>AND(ZORUNLU!P72,"AAAAAFf812M=")</f>
        <v>#VALUE!</v>
      </c>
      <c r="CW14" t="e">
        <f>AND(ZORUNLU!Q69,"AAAAAFf812Q=")</f>
        <v>#VALUE!</v>
      </c>
      <c r="CX14" t="e">
        <f>AND(ZORUNLU!R69,"AAAAAFf812U=")</f>
        <v>#VALUE!</v>
      </c>
      <c r="CY14" t="e">
        <f>AND(ZORUNLU!S78,"AAAAAFf812Y=")</f>
        <v>#VALUE!</v>
      </c>
      <c r="CZ14" t="e">
        <f>AND(ZORUNLU!T78,"AAAAAFf812c=")</f>
        <v>#VALUE!</v>
      </c>
      <c r="DA14" t="e">
        <f>AND(ZORUNLU!U78,"AAAAAFf812g=")</f>
        <v>#VALUE!</v>
      </c>
      <c r="DB14" t="e">
        <f>AND(ZORUNLU!V78,"AAAAAFf812k=")</f>
        <v>#VALUE!</v>
      </c>
      <c r="DC14" t="e">
        <f>AND(ZORUNLU!W78,"AAAAAFf812o=")</f>
        <v>#VALUE!</v>
      </c>
      <c r="DD14" t="e">
        <f>AND(ZORUNLU!X78,"AAAAAFf812s=")</f>
        <v>#VALUE!</v>
      </c>
      <c r="DE14" t="e">
        <f>AND(ZORUNLU!H70,"AAAAAFf812w=")</f>
        <v>#VALUE!</v>
      </c>
      <c r="DF14" t="e">
        <f>AND(ZORUNLU!#REF!,"AAAAAFf8120=")</f>
        <v>#REF!</v>
      </c>
      <c r="DG14" t="e">
        <f>AND(ZORUNLU!#REF!,"AAAAAFf8124=")</f>
        <v>#REF!</v>
      </c>
      <c r="DH14" t="e">
        <f>AND(ZORUNLU!#REF!,"AAAAAFf8128=")</f>
        <v>#REF!</v>
      </c>
      <c r="DI14" t="e">
        <f>AND(ZORUNLU!#REF!,"AAAAAFf813A=")</f>
        <v>#REF!</v>
      </c>
      <c r="DJ14" t="e">
        <f>AND(ZORUNLU!#REF!,"AAAAAFf813E=")</f>
        <v>#REF!</v>
      </c>
      <c r="DK14" t="e">
        <f>AND(ZORUNLU!#REF!,"AAAAAFf813I=")</f>
        <v>#REF!</v>
      </c>
      <c r="DL14" t="e">
        <f>AND(ZORUNLU!O73,"AAAAAFf813M=")</f>
        <v>#VALUE!</v>
      </c>
      <c r="DM14" t="e">
        <f>AND(ZORUNLU!P73,"AAAAAFf813Q=")</f>
        <v>#VALUE!</v>
      </c>
      <c r="DN14" t="e">
        <f>AND(ZORUNLU!Q70,"AAAAAFf813U=")</f>
        <v>#VALUE!</v>
      </c>
      <c r="DO14" t="e">
        <f>AND(ZORUNLU!R70,"AAAAAFf813Y=")</f>
        <v>#VALUE!</v>
      </c>
      <c r="DP14" t="e">
        <f>AND(ZORUNLU!S79,"AAAAAFf813c=")</f>
        <v>#VALUE!</v>
      </c>
      <c r="DQ14" t="e">
        <f>AND(ZORUNLU!T79,"AAAAAFf813g=")</f>
        <v>#VALUE!</v>
      </c>
      <c r="DR14" t="e">
        <f>AND(ZORUNLU!U79,"AAAAAFf813k=")</f>
        <v>#VALUE!</v>
      </c>
      <c r="DS14" t="e">
        <f>AND(ZORUNLU!V79,"AAAAAFf813o=")</f>
        <v>#VALUE!</v>
      </c>
      <c r="DT14" t="e">
        <f>AND(ZORUNLU!W79,"AAAAAFf813s=")</f>
        <v>#VALUE!</v>
      </c>
      <c r="DU14" t="e">
        <f>AND(ZORUNLU!X79,"AAAAAFf813w=")</f>
        <v>#VALUE!</v>
      </c>
      <c r="DV14" t="e">
        <f>AND(ZORUNLU!H71,"AAAAAFf8130=")</f>
        <v>#VALUE!</v>
      </c>
      <c r="DW14" t="e">
        <f>AND(ZORUNLU!I66,"AAAAAFf8134=")</f>
        <v>#VALUE!</v>
      </c>
      <c r="DX14" t="e">
        <f>AND(ZORUNLU!J66,"AAAAAFf8138=")</f>
        <v>#VALUE!</v>
      </c>
      <c r="DY14" t="e">
        <f>AND(ZORUNLU!K66,"AAAAAFf814A=")</f>
        <v>#VALUE!</v>
      </c>
      <c r="DZ14" t="e">
        <f>AND(ZORUNLU!L66,"AAAAAFf814E=")</f>
        <v>#VALUE!</v>
      </c>
      <c r="EA14" t="e">
        <f>AND(ZORUNLU!M66,"AAAAAFf814I=")</f>
        <v>#VALUE!</v>
      </c>
      <c r="EB14" t="e">
        <f>AND(ZORUNLU!N66,"AAAAAFf814M=")</f>
        <v>#VALUE!</v>
      </c>
      <c r="EC14" t="e">
        <f>AND(ZORUNLU!O74,"AAAAAFf814Q=")</f>
        <v>#VALUE!</v>
      </c>
      <c r="ED14" t="e">
        <f>AND(ZORUNLU!P74,"AAAAAFf814U=")</f>
        <v>#VALUE!</v>
      </c>
      <c r="EE14" t="e">
        <f>AND(ZORUNLU!Q71,"AAAAAFf814Y=")</f>
        <v>#VALUE!</v>
      </c>
      <c r="EF14" t="e">
        <f>AND(ZORUNLU!R71,"AAAAAFf814c=")</f>
        <v>#VALUE!</v>
      </c>
      <c r="EG14" t="e">
        <f>AND(ZORUNLU!S80,"AAAAAFf814g=")</f>
        <v>#VALUE!</v>
      </c>
      <c r="EH14" t="e">
        <f>AND(ZORUNLU!T80,"AAAAAFf814k=")</f>
        <v>#VALUE!</v>
      </c>
      <c r="EI14" t="e">
        <f>AND(ZORUNLU!U80,"AAAAAFf814o=")</f>
        <v>#VALUE!</v>
      </c>
      <c r="EJ14" t="e">
        <f>AND(ZORUNLU!V80,"AAAAAFf814s=")</f>
        <v>#VALUE!</v>
      </c>
      <c r="EK14" t="e">
        <f>AND(ZORUNLU!W80,"AAAAAFf814w=")</f>
        <v>#VALUE!</v>
      </c>
      <c r="EL14" t="e">
        <f>AND(ZORUNLU!X80,"AAAAAFf8140=")</f>
        <v>#VALUE!</v>
      </c>
      <c r="EM14" t="e">
        <f>AND(ZORUNLU!H72,"AAAAAFf8144=")</f>
        <v>#VALUE!</v>
      </c>
      <c r="EN14" t="e">
        <f>AND(ZORUNLU!#REF!,"AAAAAFf8148=")</f>
        <v>#REF!</v>
      </c>
      <c r="EO14" t="e">
        <f>AND(ZORUNLU!J67,"AAAAAFf815A=")</f>
        <v>#VALUE!</v>
      </c>
      <c r="EP14" t="e">
        <f>AND(ZORUNLU!K67,"AAAAAFf815E=")</f>
        <v>#VALUE!</v>
      </c>
      <c r="EQ14" t="e">
        <f>AND(ZORUNLU!L67,"AAAAAFf815I=")</f>
        <v>#VALUE!</v>
      </c>
      <c r="ER14" t="e">
        <f>AND(ZORUNLU!M67,"AAAAAFf815M=")</f>
        <v>#VALUE!</v>
      </c>
      <c r="ES14" t="e">
        <f>AND(ZORUNLU!N67,"AAAAAFf815Q=")</f>
        <v>#VALUE!</v>
      </c>
      <c r="ET14" t="e">
        <f>AND(ZORUNLU!O75,"AAAAAFf815U=")</f>
        <v>#VALUE!</v>
      </c>
      <c r="EU14" t="e">
        <f>AND(ZORUNLU!P75,"AAAAAFf815Y=")</f>
        <v>#VALUE!</v>
      </c>
      <c r="EV14" t="e">
        <f>AND(ZORUNLU!Q72,"AAAAAFf815c=")</f>
        <v>#VALUE!</v>
      </c>
      <c r="EW14" t="e">
        <f>AND(ZORUNLU!R72,"AAAAAFf815g=")</f>
        <v>#VALUE!</v>
      </c>
      <c r="EX14" t="e">
        <f>AND(ZORUNLU!S81,"AAAAAFf815k=")</f>
        <v>#VALUE!</v>
      </c>
      <c r="EY14" t="e">
        <f>AND(ZORUNLU!T81,"AAAAAFf815o=")</f>
        <v>#VALUE!</v>
      </c>
      <c r="EZ14" t="e">
        <f>AND(ZORUNLU!U81,"AAAAAFf815s=")</f>
        <v>#VALUE!</v>
      </c>
      <c r="FA14" t="e">
        <f>AND(ZORUNLU!V81,"AAAAAFf815w=")</f>
        <v>#VALUE!</v>
      </c>
      <c r="FB14" t="e">
        <f>AND(ZORUNLU!W81,"AAAAAFf8150=")</f>
        <v>#VALUE!</v>
      </c>
      <c r="FC14" t="e">
        <f>AND(ZORUNLU!X81,"AAAAAFf8154=")</f>
        <v>#VALUE!</v>
      </c>
      <c r="FD14" t="e">
        <f>AND(ZORUNLU!H73,"AAAAAFf8158=")</f>
        <v>#VALUE!</v>
      </c>
      <c r="FE14" t="e">
        <f>AND(ZORUNLU!#REF!,"AAAAAFf816A=")</f>
        <v>#REF!</v>
      </c>
      <c r="FF14" t="e">
        <f>AND(ZORUNLU!J68,"AAAAAFf816E=")</f>
        <v>#VALUE!</v>
      </c>
      <c r="FG14" t="e">
        <f>AND(ZORUNLU!K68,"AAAAAFf816I=")</f>
        <v>#VALUE!</v>
      </c>
      <c r="FH14" t="e">
        <f>AND(ZORUNLU!L68,"AAAAAFf816M=")</f>
        <v>#VALUE!</v>
      </c>
      <c r="FI14" t="e">
        <f>AND(ZORUNLU!M68,"AAAAAFf816Q=")</f>
        <v>#VALUE!</v>
      </c>
      <c r="FJ14" t="e">
        <f>AND(ZORUNLU!N68,"AAAAAFf816U=")</f>
        <v>#VALUE!</v>
      </c>
      <c r="FK14" t="e">
        <f>AND(ZORUNLU!O76,"AAAAAFf816Y=")</f>
        <v>#VALUE!</v>
      </c>
      <c r="FL14" t="e">
        <f>AND(ZORUNLU!P76,"AAAAAFf816c=")</f>
        <v>#VALUE!</v>
      </c>
      <c r="FM14" t="e">
        <f>AND(ZORUNLU!Q73,"AAAAAFf816g=")</f>
        <v>#VALUE!</v>
      </c>
      <c r="FN14" t="e">
        <f>AND(ZORUNLU!R73,"AAAAAFf816k=")</f>
        <v>#VALUE!</v>
      </c>
      <c r="FO14" t="e">
        <f>AND(ZORUNLU!S82,"AAAAAFf816o=")</f>
        <v>#VALUE!</v>
      </c>
      <c r="FP14" t="e">
        <f>AND(ZORUNLU!T82,"AAAAAFf816s=")</f>
        <v>#VALUE!</v>
      </c>
      <c r="FQ14" t="e">
        <f>AND(ZORUNLU!U82,"AAAAAFf816w=")</f>
        <v>#VALUE!</v>
      </c>
      <c r="FR14" t="e">
        <f>AND(ZORUNLU!V82,"AAAAAFf8160=")</f>
        <v>#VALUE!</v>
      </c>
      <c r="FS14" t="e">
        <f>AND(ZORUNLU!W82,"AAAAAFf8164=")</f>
        <v>#VALUE!</v>
      </c>
      <c r="FT14" t="e">
        <f>AND(ZORUNLU!X82,"AAAAAFf8168=")</f>
        <v>#VALUE!</v>
      </c>
      <c r="FU14">
        <f>IF(ZORUNLU!84:84,"AAAAAFf817A=",0)</f>
        <v>0</v>
      </c>
      <c r="FV14" t="e">
        <f>AND(ZORUNLU!H74,"AAAAAFf817E=")</f>
        <v>#VALUE!</v>
      </c>
      <c r="FW14" t="e">
        <f>AND(ZORUNLU!I67,"AAAAAFf817I=")</f>
        <v>#VALUE!</v>
      </c>
      <c r="FX14" t="e">
        <f>AND(ZORUNLU!J69,"AAAAAFf817M=")</f>
        <v>#VALUE!</v>
      </c>
      <c r="FY14" t="e">
        <f>AND(ZORUNLU!K69,"AAAAAFf817Q=")</f>
        <v>#VALUE!</v>
      </c>
      <c r="FZ14" t="e">
        <f>AND(ZORUNLU!L69,"AAAAAFf817U=")</f>
        <v>#VALUE!</v>
      </c>
      <c r="GA14" t="e">
        <f>AND(ZORUNLU!M69,"AAAAAFf817Y=")</f>
        <v>#VALUE!</v>
      </c>
      <c r="GB14" t="e">
        <f>AND(ZORUNLU!N69,"AAAAAFf817c=")</f>
        <v>#VALUE!</v>
      </c>
      <c r="GC14" t="e">
        <f>AND(ZORUNLU!O77,"AAAAAFf817g=")</f>
        <v>#VALUE!</v>
      </c>
      <c r="GD14" t="e">
        <f>AND(ZORUNLU!P77,"AAAAAFf817k=")</f>
        <v>#VALUE!</v>
      </c>
      <c r="GE14" t="e">
        <f>AND(ZORUNLU!Q74,"AAAAAFf817o=")</f>
        <v>#VALUE!</v>
      </c>
      <c r="GF14" t="e">
        <f>AND(ZORUNLU!R74,"AAAAAFf817s=")</f>
        <v>#VALUE!</v>
      </c>
      <c r="GG14" t="e">
        <f>AND(ZORUNLU!S83,"AAAAAFf817w=")</f>
        <v>#VALUE!</v>
      </c>
      <c r="GH14" t="e">
        <f>AND(ZORUNLU!T83,"AAAAAFf8170=")</f>
        <v>#VALUE!</v>
      </c>
      <c r="GI14" t="e">
        <f>AND(ZORUNLU!U83,"AAAAAFf8174=")</f>
        <v>#VALUE!</v>
      </c>
      <c r="GJ14" t="e">
        <f>AND(ZORUNLU!V83,"AAAAAFf8178=")</f>
        <v>#VALUE!</v>
      </c>
      <c r="GK14" t="e">
        <f>AND(ZORUNLU!W83,"AAAAAFf818A=")</f>
        <v>#VALUE!</v>
      </c>
      <c r="GL14" t="e">
        <f>AND(ZORUNLU!X83,"AAAAAFf818E=")</f>
        <v>#VALUE!</v>
      </c>
      <c r="GM14">
        <f>IF(ZORUNLU!85:85,"AAAAAFf818I=",0)</f>
        <v>0</v>
      </c>
      <c r="GN14" t="e">
        <f>AND(ZORUNLU!B77,"AAAAAFf818M=")</f>
        <v>#VALUE!</v>
      </c>
      <c r="GO14" t="e">
        <f>AND(ZORUNLU!C68,"AAAAAFf818Q=")</f>
        <v>#VALUE!</v>
      </c>
      <c r="GP14" t="e">
        <f>AND(ZORUNLU!D68,"AAAAAFf818U=")</f>
        <v>#VALUE!</v>
      </c>
      <c r="GQ14" t="e">
        <f>AND(ZORUNLU!E68,"AAAAAFf818Y=")</f>
        <v>#VALUE!</v>
      </c>
      <c r="GR14" t="e">
        <f>AND(ZORUNLU!F68,"AAAAAFf818c=")</f>
        <v>#VALUE!</v>
      </c>
      <c r="GS14" t="e">
        <f>AND(ZORUNLU!G68,"AAAAAFf818g=")</f>
        <v>#VALUE!</v>
      </c>
      <c r="GT14" t="e">
        <f>AND(ZORUNLU!H75,"AAAAAFf818k=")</f>
        <v>#VALUE!</v>
      </c>
      <c r="GU14" t="e">
        <f>AND(ZORUNLU!I68,"AAAAAFf818o=")</f>
        <v>#VALUE!</v>
      </c>
      <c r="GV14" t="e">
        <f>AND(ZORUNLU!J70,"AAAAAFf818s=")</f>
        <v>#VALUE!</v>
      </c>
      <c r="GW14" t="e">
        <f>AND(ZORUNLU!K70,"AAAAAFf818w=")</f>
        <v>#VALUE!</v>
      </c>
      <c r="GX14" t="e">
        <f>AND(ZORUNLU!L70,"AAAAAFf8180=")</f>
        <v>#VALUE!</v>
      </c>
      <c r="GY14" t="e">
        <f>AND(ZORUNLU!M70,"AAAAAFf8184=")</f>
        <v>#VALUE!</v>
      </c>
      <c r="GZ14" t="e">
        <f>AND(ZORUNLU!N70,"AAAAAFf8188=")</f>
        <v>#VALUE!</v>
      </c>
      <c r="HA14" t="e">
        <f>AND(ZORUNLU!O78,"AAAAAFf819A=")</f>
        <v>#VALUE!</v>
      </c>
      <c r="HB14" t="e">
        <f>AND(ZORUNLU!P78,"AAAAAFf819E=")</f>
        <v>#VALUE!</v>
      </c>
      <c r="HC14" t="e">
        <f>AND(ZORUNLU!Q75,"AAAAAFf819I=")</f>
        <v>#VALUE!</v>
      </c>
      <c r="HD14" t="e">
        <f>AND(ZORUNLU!R75,"AAAAAFf819M=")</f>
        <v>#VALUE!</v>
      </c>
      <c r="HE14" t="e">
        <f>AND(ZORUNLU!S84,"AAAAAFf819Q=")</f>
        <v>#VALUE!</v>
      </c>
      <c r="HF14" t="e">
        <f>AND(ZORUNLU!T84,"AAAAAFf819U=")</f>
        <v>#VALUE!</v>
      </c>
      <c r="HG14" t="e">
        <f>AND(ZORUNLU!U84,"AAAAAFf819Y=")</f>
        <v>#VALUE!</v>
      </c>
      <c r="HH14" t="e">
        <f>AND(ZORUNLU!V84,"AAAAAFf819c=")</f>
        <v>#VALUE!</v>
      </c>
      <c r="HI14" t="e">
        <f>AND(ZORUNLU!W84,"AAAAAFf819g=")</f>
        <v>#VALUE!</v>
      </c>
      <c r="HJ14" t="e">
        <f>AND(ZORUNLU!X84,"AAAAAFf819k=")</f>
        <v>#VALUE!</v>
      </c>
      <c r="HK14">
        <f>IF(ZORUNLU!86:86,"AAAAAFf819o=",0)</f>
        <v>0</v>
      </c>
      <c r="HL14" t="e">
        <f>AND(ZORUNLU!B78,"AAAAAFf819s=")</f>
        <v>#VALUE!</v>
      </c>
      <c r="HM14" t="e">
        <f>AND(ZORUNLU!C69,"AAAAAFf819w=")</f>
        <v>#VALUE!</v>
      </c>
      <c r="HN14" t="e">
        <f>AND(ZORUNLU!D69,"AAAAAFf8190=")</f>
        <v>#VALUE!</v>
      </c>
      <c r="HO14" t="e">
        <f>AND(ZORUNLU!E69,"AAAAAFf8194=")</f>
        <v>#VALUE!</v>
      </c>
      <c r="HP14" t="e">
        <f>AND(ZORUNLU!F69,"AAAAAFf8198=")</f>
        <v>#VALUE!</v>
      </c>
      <c r="HQ14" t="e">
        <f>AND(ZORUNLU!G69,"AAAAAFf81+A=")</f>
        <v>#VALUE!</v>
      </c>
      <c r="HR14" t="e">
        <f>AND(ZORUNLU!H76,"AAAAAFf81+E=")</f>
        <v>#VALUE!</v>
      </c>
      <c r="HS14" t="e">
        <f>AND(ZORUNLU!I69,"AAAAAFf81+I=")</f>
        <v>#VALUE!</v>
      </c>
      <c r="HT14" t="e">
        <f>AND(ZORUNLU!J71,"AAAAAFf81+M=")</f>
        <v>#VALUE!</v>
      </c>
      <c r="HU14" t="e">
        <f>AND(ZORUNLU!K71,"AAAAAFf81+Q=")</f>
        <v>#VALUE!</v>
      </c>
      <c r="HV14" t="e">
        <f>AND(ZORUNLU!L71,"AAAAAFf81+U=")</f>
        <v>#VALUE!</v>
      </c>
      <c r="HW14" t="e">
        <f>AND(ZORUNLU!M71,"AAAAAFf81+Y=")</f>
        <v>#VALUE!</v>
      </c>
      <c r="HX14" t="e">
        <f>AND(ZORUNLU!N71,"AAAAAFf81+c=")</f>
        <v>#VALUE!</v>
      </c>
      <c r="HY14" t="e">
        <f>AND(ZORUNLU!O79,"AAAAAFf81+g=")</f>
        <v>#VALUE!</v>
      </c>
      <c r="HZ14" t="e">
        <f>AND(ZORUNLU!P79,"AAAAAFf81+k=")</f>
        <v>#VALUE!</v>
      </c>
      <c r="IA14" t="e">
        <f>AND(ZORUNLU!Q76,"AAAAAFf81+o=")</f>
        <v>#VALUE!</v>
      </c>
      <c r="IB14" t="e">
        <f>AND(ZORUNLU!R76,"AAAAAFf81+s=")</f>
        <v>#VALUE!</v>
      </c>
      <c r="IC14" t="e">
        <f>AND(ZORUNLU!S85,"AAAAAFf81+w=")</f>
        <v>#VALUE!</v>
      </c>
      <c r="ID14" t="e">
        <f>AND(ZORUNLU!T85,"AAAAAFf81+0=")</f>
        <v>#VALUE!</v>
      </c>
      <c r="IE14" t="e">
        <f>AND(ZORUNLU!U85,"AAAAAFf81+4=")</f>
        <v>#VALUE!</v>
      </c>
      <c r="IF14" t="e">
        <f>AND(ZORUNLU!V85,"AAAAAFf81+8=")</f>
        <v>#VALUE!</v>
      </c>
      <c r="IG14" t="e">
        <f>AND(ZORUNLU!W85,"AAAAAFf81/A=")</f>
        <v>#VALUE!</v>
      </c>
      <c r="IH14" t="e">
        <f>AND(ZORUNLU!X85,"AAAAAFf81/E=")</f>
        <v>#VALUE!</v>
      </c>
      <c r="II14">
        <f>IF(ZORUNLU!87:87,"AAAAAFf81/I=",0)</f>
        <v>0</v>
      </c>
      <c r="IJ14" t="e">
        <f>AND(ZORUNLU!B79,"AAAAAFf81/M=")</f>
        <v>#VALUE!</v>
      </c>
      <c r="IK14" t="e">
        <f>AND(ZORUNLU!C70,"AAAAAFf81/Q=")</f>
        <v>#VALUE!</v>
      </c>
      <c r="IL14" t="e">
        <f>AND(ZORUNLU!D70,"AAAAAFf81/U=")</f>
        <v>#VALUE!</v>
      </c>
      <c r="IM14" t="e">
        <f>AND(ZORUNLU!E70,"AAAAAFf81/Y=")</f>
        <v>#VALUE!</v>
      </c>
      <c r="IN14" t="e">
        <f>AND(ZORUNLU!F70,"AAAAAFf81/c=")</f>
        <v>#VALUE!</v>
      </c>
      <c r="IO14" t="e">
        <f>AND(ZORUNLU!G70,"AAAAAFf81/g=")</f>
        <v>#VALUE!</v>
      </c>
      <c r="IP14" t="e">
        <f>AND(ZORUNLU!H77,"AAAAAFf81/k=")</f>
        <v>#VALUE!</v>
      </c>
      <c r="IQ14" t="e">
        <f>AND(ZORUNLU!I70,"AAAAAFf81/o=")</f>
        <v>#VALUE!</v>
      </c>
      <c r="IR14" t="e">
        <f>AND(ZORUNLU!J72,"AAAAAFf81/s=")</f>
        <v>#VALUE!</v>
      </c>
      <c r="IS14" t="e">
        <f>AND(ZORUNLU!K72,"AAAAAFf81/w=")</f>
        <v>#VALUE!</v>
      </c>
      <c r="IT14" t="e">
        <f>AND(ZORUNLU!L72,"AAAAAFf81/0=")</f>
        <v>#VALUE!</v>
      </c>
      <c r="IU14" t="e">
        <f>AND(ZORUNLU!M72,"AAAAAFf81/4=")</f>
        <v>#VALUE!</v>
      </c>
      <c r="IV14" t="e">
        <f>AND(ZORUNLU!N72,"AAAAAFf81/8=")</f>
        <v>#VALUE!</v>
      </c>
    </row>
    <row r="15" spans="1:256" x14ac:dyDescent="0.25">
      <c r="A15" t="e">
        <f>AND(ZORUNLU!O80,"AAAAAHVl+wA=")</f>
        <v>#VALUE!</v>
      </c>
      <c r="B15" t="e">
        <f>AND(ZORUNLU!P80,"AAAAAHVl+wE=")</f>
        <v>#VALUE!</v>
      </c>
      <c r="C15" t="e">
        <f>AND(ZORUNLU!Q77,"AAAAAHVl+wI=")</f>
        <v>#VALUE!</v>
      </c>
      <c r="D15" t="e">
        <f>AND(ZORUNLU!R77,"AAAAAHVl+wM=")</f>
        <v>#VALUE!</v>
      </c>
      <c r="E15" t="e">
        <f>AND(ZORUNLU!S86,"AAAAAHVl+wQ=")</f>
        <v>#VALUE!</v>
      </c>
      <c r="F15" t="e">
        <f>AND(ZORUNLU!T86,"AAAAAHVl+wU=")</f>
        <v>#VALUE!</v>
      </c>
      <c r="G15" t="e">
        <f>AND(ZORUNLU!U86,"AAAAAHVl+wY=")</f>
        <v>#VALUE!</v>
      </c>
      <c r="H15" t="e">
        <f>AND(ZORUNLU!V86,"AAAAAHVl+wc=")</f>
        <v>#VALUE!</v>
      </c>
      <c r="I15" t="e">
        <f>AND(ZORUNLU!W86,"AAAAAHVl+wg=")</f>
        <v>#VALUE!</v>
      </c>
      <c r="J15" t="e">
        <f>AND(ZORUNLU!X86,"AAAAAHVl+wk=")</f>
        <v>#VALUE!</v>
      </c>
      <c r="K15">
        <f>IF(ZORUNLU!88:88,"AAAAAHVl+wo=",0)</f>
        <v>0</v>
      </c>
      <c r="L15" t="e">
        <f>AND(ZORUNLU!B80,"AAAAAHVl+ws=")</f>
        <v>#VALUE!</v>
      </c>
      <c r="M15" t="e">
        <f>AND(ZORUNLU!C71,"AAAAAHVl+ww=")</f>
        <v>#VALUE!</v>
      </c>
      <c r="N15" t="e">
        <f>AND(ZORUNLU!D71,"AAAAAHVl+w0=")</f>
        <v>#VALUE!</v>
      </c>
      <c r="O15" t="e">
        <f>AND(ZORUNLU!E71,"AAAAAHVl+w4=")</f>
        <v>#VALUE!</v>
      </c>
      <c r="P15" t="e">
        <f>AND(ZORUNLU!F71,"AAAAAHVl+w8=")</f>
        <v>#VALUE!</v>
      </c>
      <c r="Q15" t="e">
        <f>AND(ZORUNLU!G71,"AAAAAHVl+xA=")</f>
        <v>#VALUE!</v>
      </c>
      <c r="R15" t="e">
        <f>AND(ZORUNLU!H78,"AAAAAHVl+xE=")</f>
        <v>#VALUE!</v>
      </c>
      <c r="S15" t="e">
        <f>AND(ZORUNLU!I71,"AAAAAHVl+xI=")</f>
        <v>#VALUE!</v>
      </c>
      <c r="T15" t="e">
        <f>AND(ZORUNLU!J73,"AAAAAHVl+xM=")</f>
        <v>#VALUE!</v>
      </c>
      <c r="U15" t="e">
        <f>AND(ZORUNLU!K73,"AAAAAHVl+xQ=")</f>
        <v>#VALUE!</v>
      </c>
      <c r="V15" t="e">
        <f>AND(ZORUNLU!L73,"AAAAAHVl+xU=")</f>
        <v>#VALUE!</v>
      </c>
      <c r="W15" t="e">
        <f>AND(ZORUNLU!M73,"AAAAAHVl+xY=")</f>
        <v>#VALUE!</v>
      </c>
      <c r="X15" t="e">
        <f>AND(ZORUNLU!N73,"AAAAAHVl+xc=")</f>
        <v>#VALUE!</v>
      </c>
      <c r="Y15" t="e">
        <f>AND(ZORUNLU!O81,"AAAAAHVl+xg=")</f>
        <v>#VALUE!</v>
      </c>
      <c r="Z15" t="e">
        <f>AND(ZORUNLU!P81,"AAAAAHVl+xk=")</f>
        <v>#VALUE!</v>
      </c>
      <c r="AA15" t="e">
        <f>AND(ZORUNLU!Q78,"AAAAAHVl+xo=")</f>
        <v>#VALUE!</v>
      </c>
      <c r="AB15" t="e">
        <f>AND(ZORUNLU!R78,"AAAAAHVl+xs=")</f>
        <v>#VALUE!</v>
      </c>
      <c r="AC15" t="e">
        <f>AND(ZORUNLU!S87,"AAAAAHVl+xw=")</f>
        <v>#VALUE!</v>
      </c>
      <c r="AD15" t="e">
        <f>AND(ZORUNLU!T87,"AAAAAHVl+x0=")</f>
        <v>#VALUE!</v>
      </c>
      <c r="AE15" t="e">
        <f>AND(ZORUNLU!U87,"AAAAAHVl+x4=")</f>
        <v>#VALUE!</v>
      </c>
      <c r="AF15" t="e">
        <f>AND(ZORUNLU!V87,"AAAAAHVl+x8=")</f>
        <v>#VALUE!</v>
      </c>
      <c r="AG15" t="e">
        <f>AND(ZORUNLU!W87,"AAAAAHVl+yA=")</f>
        <v>#VALUE!</v>
      </c>
      <c r="AH15" t="e">
        <f>AND(ZORUNLU!X87,"AAAAAHVl+yE=")</f>
        <v>#VALUE!</v>
      </c>
      <c r="AI15">
        <f>IF(ZORUNLU!89:89,"AAAAAHVl+yI=",0)</f>
        <v>0</v>
      </c>
      <c r="AJ15" t="e">
        <f>AND(ZORUNLU!B81,"AAAAAHVl+yM=")</f>
        <v>#VALUE!</v>
      </c>
      <c r="AK15" t="e">
        <f>AND(ZORUNLU!C72,"AAAAAHVl+yQ=")</f>
        <v>#VALUE!</v>
      </c>
      <c r="AL15" t="e">
        <f>AND(ZORUNLU!D72,"AAAAAHVl+yU=")</f>
        <v>#VALUE!</v>
      </c>
      <c r="AM15" t="e">
        <f>AND(ZORUNLU!E72,"AAAAAHVl+yY=")</f>
        <v>#VALUE!</v>
      </c>
      <c r="AN15" t="e">
        <f>AND(ZORUNLU!F72,"AAAAAHVl+yc=")</f>
        <v>#VALUE!</v>
      </c>
      <c r="AO15" t="e">
        <f>AND(ZORUNLU!G72,"AAAAAHVl+yg=")</f>
        <v>#VALUE!</v>
      </c>
      <c r="AP15" t="e">
        <f>AND(ZORUNLU!H79,"AAAAAHVl+yk=")</f>
        <v>#VALUE!</v>
      </c>
      <c r="AQ15" t="e">
        <f>AND(ZORUNLU!I72,"AAAAAHVl+yo=")</f>
        <v>#VALUE!</v>
      </c>
      <c r="AR15" t="e">
        <f>AND(ZORUNLU!J74,"AAAAAHVl+ys=")</f>
        <v>#VALUE!</v>
      </c>
      <c r="AS15" t="e">
        <f>AND(ZORUNLU!K74,"AAAAAHVl+yw=")</f>
        <v>#VALUE!</v>
      </c>
      <c r="AT15" t="e">
        <f>AND(ZORUNLU!L74,"AAAAAHVl+y0=")</f>
        <v>#VALUE!</v>
      </c>
      <c r="AU15" t="e">
        <f>AND(ZORUNLU!M74,"AAAAAHVl+y4=")</f>
        <v>#VALUE!</v>
      </c>
      <c r="AV15" t="e">
        <f>AND(ZORUNLU!N74,"AAAAAHVl+y8=")</f>
        <v>#VALUE!</v>
      </c>
      <c r="AW15" t="e">
        <f>AND(ZORUNLU!O82,"AAAAAHVl+zA=")</f>
        <v>#VALUE!</v>
      </c>
      <c r="AX15" t="e">
        <f>AND(ZORUNLU!P82,"AAAAAHVl+zE=")</f>
        <v>#VALUE!</v>
      </c>
      <c r="AY15" t="e">
        <f>AND(ZORUNLU!Q79,"AAAAAHVl+zI=")</f>
        <v>#VALUE!</v>
      </c>
      <c r="AZ15" t="e">
        <f>AND(ZORUNLU!R79,"AAAAAHVl+zM=")</f>
        <v>#VALUE!</v>
      </c>
      <c r="BA15" t="e">
        <f>AND(ZORUNLU!S88,"AAAAAHVl+zQ=")</f>
        <v>#VALUE!</v>
      </c>
      <c r="BB15" t="e">
        <f>AND(ZORUNLU!T88,"AAAAAHVl+zU=")</f>
        <v>#VALUE!</v>
      </c>
      <c r="BC15" t="e">
        <f>AND(ZORUNLU!U88,"AAAAAHVl+zY=")</f>
        <v>#VALUE!</v>
      </c>
      <c r="BD15" t="e">
        <f>AND(ZORUNLU!V88,"AAAAAHVl+zc=")</f>
        <v>#VALUE!</v>
      </c>
      <c r="BE15" t="e">
        <f>AND(ZORUNLU!W88,"AAAAAHVl+zg=")</f>
        <v>#VALUE!</v>
      </c>
      <c r="BF15" t="e">
        <f>AND(ZORUNLU!X88,"AAAAAHVl+zk=")</f>
        <v>#VALUE!</v>
      </c>
      <c r="BG15">
        <f>IF(ZORUNLU!90:90,"AAAAAHVl+zo=",0)</f>
        <v>0</v>
      </c>
      <c r="BH15" t="e">
        <f>AND(ZORUNLU!B82,"AAAAAHVl+zs=")</f>
        <v>#VALUE!</v>
      </c>
      <c r="BI15" t="e">
        <f>AND(ZORUNLU!C73,"AAAAAHVl+zw=")</f>
        <v>#VALUE!</v>
      </c>
      <c r="BJ15" t="e">
        <f>AND(ZORUNLU!D73,"AAAAAHVl+z0=")</f>
        <v>#VALUE!</v>
      </c>
      <c r="BK15" t="e">
        <f>AND(ZORUNLU!E73,"AAAAAHVl+z4=")</f>
        <v>#VALUE!</v>
      </c>
      <c r="BL15" t="e">
        <f>AND(ZORUNLU!F73,"AAAAAHVl+z8=")</f>
        <v>#VALUE!</v>
      </c>
      <c r="BM15" t="e">
        <f>AND(ZORUNLU!G73,"AAAAAHVl+0A=")</f>
        <v>#VALUE!</v>
      </c>
      <c r="BN15" t="e">
        <f>AND(ZORUNLU!H80,"AAAAAHVl+0E=")</f>
        <v>#VALUE!</v>
      </c>
      <c r="BO15" t="e">
        <f>AND(ZORUNLU!I73,"AAAAAHVl+0I=")</f>
        <v>#VALUE!</v>
      </c>
      <c r="BP15" t="e">
        <f>AND(ZORUNLU!J75,"AAAAAHVl+0M=")</f>
        <v>#VALUE!</v>
      </c>
      <c r="BQ15" t="e">
        <f>AND(ZORUNLU!K75,"AAAAAHVl+0Q=")</f>
        <v>#VALUE!</v>
      </c>
      <c r="BR15" t="e">
        <f>AND(ZORUNLU!L75,"AAAAAHVl+0U=")</f>
        <v>#VALUE!</v>
      </c>
      <c r="BS15" t="e">
        <f>AND(ZORUNLU!M75,"AAAAAHVl+0Y=")</f>
        <v>#VALUE!</v>
      </c>
      <c r="BT15" t="e">
        <f>AND(ZORUNLU!N75,"AAAAAHVl+0c=")</f>
        <v>#VALUE!</v>
      </c>
      <c r="BU15" t="e">
        <f>AND(ZORUNLU!O83,"AAAAAHVl+0g=")</f>
        <v>#VALUE!</v>
      </c>
      <c r="BV15" t="e">
        <f>AND(ZORUNLU!P83,"AAAAAHVl+0k=")</f>
        <v>#VALUE!</v>
      </c>
      <c r="BW15" t="e">
        <f>AND(ZORUNLU!Q80,"AAAAAHVl+0o=")</f>
        <v>#VALUE!</v>
      </c>
      <c r="BX15" t="e">
        <f>AND(ZORUNLU!R80,"AAAAAHVl+0s=")</f>
        <v>#VALUE!</v>
      </c>
      <c r="BY15" t="e">
        <f>AND(ZORUNLU!S89,"AAAAAHVl+0w=")</f>
        <v>#VALUE!</v>
      </c>
      <c r="BZ15" t="e">
        <f>AND(ZORUNLU!T89,"AAAAAHVl+00=")</f>
        <v>#VALUE!</v>
      </c>
      <c r="CA15" t="e">
        <f>AND(ZORUNLU!U89,"AAAAAHVl+04=")</f>
        <v>#VALUE!</v>
      </c>
      <c r="CB15" t="e">
        <f>AND(ZORUNLU!V89,"AAAAAHVl+08=")</f>
        <v>#VALUE!</v>
      </c>
      <c r="CC15" t="e">
        <f>AND(ZORUNLU!W89,"AAAAAHVl+1A=")</f>
        <v>#VALUE!</v>
      </c>
      <c r="CD15" t="e">
        <f>AND(ZORUNLU!X89,"AAAAAHVl+1E=")</f>
        <v>#VALUE!</v>
      </c>
      <c r="CE15">
        <f>IF(ZORUNLU!91:91,"AAAAAHVl+1I=",0)</f>
        <v>0</v>
      </c>
      <c r="CF15" t="e">
        <f>AND(ZORUNLU!B83,"AAAAAHVl+1M=")</f>
        <v>#VALUE!</v>
      </c>
      <c r="CG15" t="e">
        <f>AND(ZORUNLU!C74,"AAAAAHVl+1Q=")</f>
        <v>#VALUE!</v>
      </c>
      <c r="CH15" t="e">
        <f>AND(ZORUNLU!D74,"AAAAAHVl+1U=")</f>
        <v>#VALUE!</v>
      </c>
      <c r="CI15" t="e">
        <f>AND(ZORUNLU!E74,"AAAAAHVl+1Y=")</f>
        <v>#VALUE!</v>
      </c>
      <c r="CJ15" t="e">
        <f>AND(ZORUNLU!F74,"AAAAAHVl+1c=")</f>
        <v>#VALUE!</v>
      </c>
      <c r="CK15" t="e">
        <f>AND(ZORUNLU!G74,"AAAAAHVl+1g=")</f>
        <v>#VALUE!</v>
      </c>
      <c r="CL15" t="e">
        <f>AND(ZORUNLU!H81,"AAAAAHVl+1k=")</f>
        <v>#VALUE!</v>
      </c>
      <c r="CM15" t="e">
        <f>AND(ZORUNLU!I74,"AAAAAHVl+1o=")</f>
        <v>#VALUE!</v>
      </c>
      <c r="CN15" t="e">
        <f>AND(ZORUNLU!J76,"AAAAAHVl+1s=")</f>
        <v>#VALUE!</v>
      </c>
      <c r="CO15" t="e">
        <f>AND(ZORUNLU!K76,"AAAAAHVl+1w=")</f>
        <v>#VALUE!</v>
      </c>
      <c r="CP15" t="e">
        <f>AND(ZORUNLU!L76,"AAAAAHVl+10=")</f>
        <v>#VALUE!</v>
      </c>
      <c r="CQ15" t="e">
        <f>AND(ZORUNLU!M76,"AAAAAHVl+14=")</f>
        <v>#VALUE!</v>
      </c>
      <c r="CR15" t="e">
        <f>AND(ZORUNLU!N76,"AAAAAHVl+18=")</f>
        <v>#VALUE!</v>
      </c>
      <c r="CS15" t="e">
        <f>AND(ZORUNLU!O84,"AAAAAHVl+2A=")</f>
        <v>#VALUE!</v>
      </c>
      <c r="CT15" t="e">
        <f>AND(ZORUNLU!P84,"AAAAAHVl+2E=")</f>
        <v>#VALUE!</v>
      </c>
      <c r="CU15" t="e">
        <f>AND(ZORUNLU!Q81,"AAAAAHVl+2I=")</f>
        <v>#VALUE!</v>
      </c>
      <c r="CV15" t="e">
        <f>AND(ZORUNLU!R81,"AAAAAHVl+2M=")</f>
        <v>#VALUE!</v>
      </c>
      <c r="CW15" t="e">
        <f>AND(ZORUNLU!S90,"AAAAAHVl+2Q=")</f>
        <v>#VALUE!</v>
      </c>
      <c r="CX15" t="e">
        <f>AND(ZORUNLU!T90,"AAAAAHVl+2U=")</f>
        <v>#VALUE!</v>
      </c>
      <c r="CY15" t="e">
        <f>AND(ZORUNLU!U90,"AAAAAHVl+2Y=")</f>
        <v>#VALUE!</v>
      </c>
      <c r="CZ15" t="e">
        <f>AND(ZORUNLU!V90,"AAAAAHVl+2c=")</f>
        <v>#VALUE!</v>
      </c>
      <c r="DA15" t="e">
        <f>AND(ZORUNLU!W90,"AAAAAHVl+2g=")</f>
        <v>#VALUE!</v>
      </c>
      <c r="DB15" t="e">
        <f>AND(ZORUNLU!X90,"AAAAAHVl+2k=")</f>
        <v>#VALUE!</v>
      </c>
      <c r="DC15">
        <f>IF(ZORUNLU!92:92,"AAAAAHVl+2o=",0)</f>
        <v>0</v>
      </c>
      <c r="DD15" t="e">
        <f>AND(ZORUNLU!B84,"AAAAAHVl+2s=")</f>
        <v>#VALUE!</v>
      </c>
      <c r="DE15" t="e">
        <f>AND(ZORUNLU!C75,"AAAAAHVl+2w=")</f>
        <v>#VALUE!</v>
      </c>
      <c r="DF15" t="e">
        <f>AND(ZORUNLU!D75,"AAAAAHVl+20=")</f>
        <v>#VALUE!</v>
      </c>
      <c r="DG15" t="e">
        <f>AND(ZORUNLU!E75,"AAAAAHVl+24=")</f>
        <v>#VALUE!</v>
      </c>
      <c r="DH15" t="e">
        <f>AND(ZORUNLU!F75,"AAAAAHVl+28=")</f>
        <v>#VALUE!</v>
      </c>
      <c r="DI15" t="e">
        <f>AND(ZORUNLU!G75,"AAAAAHVl+3A=")</f>
        <v>#VALUE!</v>
      </c>
      <c r="DJ15" t="e">
        <f>AND(ZORUNLU!H82,"AAAAAHVl+3E=")</f>
        <v>#VALUE!</v>
      </c>
      <c r="DK15" t="e">
        <f>AND(ZORUNLU!I75,"AAAAAHVl+3I=")</f>
        <v>#VALUE!</v>
      </c>
      <c r="DL15" t="e">
        <f>AND(ZORUNLU!J77,"AAAAAHVl+3M=")</f>
        <v>#VALUE!</v>
      </c>
      <c r="DM15" t="e">
        <f>AND(ZORUNLU!K77,"AAAAAHVl+3Q=")</f>
        <v>#VALUE!</v>
      </c>
      <c r="DN15" t="e">
        <f>AND(ZORUNLU!L77,"AAAAAHVl+3U=")</f>
        <v>#VALUE!</v>
      </c>
      <c r="DO15" t="e">
        <f>AND(ZORUNLU!M77,"AAAAAHVl+3Y=")</f>
        <v>#VALUE!</v>
      </c>
      <c r="DP15" t="e">
        <f>AND(ZORUNLU!N77,"AAAAAHVl+3c=")</f>
        <v>#VALUE!</v>
      </c>
      <c r="DQ15" t="e">
        <f>AND(ZORUNLU!O85,"AAAAAHVl+3g=")</f>
        <v>#VALUE!</v>
      </c>
      <c r="DR15" t="e">
        <f>AND(ZORUNLU!P85,"AAAAAHVl+3k=")</f>
        <v>#VALUE!</v>
      </c>
      <c r="DS15" t="e">
        <f>AND(ZORUNLU!Q82,"AAAAAHVl+3o=")</f>
        <v>#VALUE!</v>
      </c>
      <c r="DT15" t="e">
        <f>AND(ZORUNLU!R82,"AAAAAHVl+3s=")</f>
        <v>#VALUE!</v>
      </c>
      <c r="DU15" t="e">
        <f>AND(ZORUNLU!S91,"AAAAAHVl+3w=")</f>
        <v>#VALUE!</v>
      </c>
      <c r="DV15" t="e">
        <f>AND(ZORUNLU!T91,"AAAAAHVl+30=")</f>
        <v>#VALUE!</v>
      </c>
      <c r="DW15" t="e">
        <f>AND(ZORUNLU!U91,"AAAAAHVl+34=")</f>
        <v>#VALUE!</v>
      </c>
      <c r="DX15" t="e">
        <f>AND(ZORUNLU!V91,"AAAAAHVl+38=")</f>
        <v>#VALUE!</v>
      </c>
      <c r="DY15" t="e">
        <f>AND(ZORUNLU!W91,"AAAAAHVl+4A=")</f>
        <v>#VALUE!</v>
      </c>
      <c r="DZ15" t="e">
        <f>AND(ZORUNLU!X91,"AAAAAHVl+4E=")</f>
        <v>#VALUE!</v>
      </c>
      <c r="EA15">
        <f>IF(ZORUNLU!93:93,"AAAAAHVl+4I=",0)</f>
        <v>0</v>
      </c>
      <c r="EB15" t="e">
        <f>AND(ZORUNLU!B85,"AAAAAHVl+4M=")</f>
        <v>#VALUE!</v>
      </c>
      <c r="EC15" t="e">
        <f>AND(ZORUNLU!C76,"AAAAAHVl+4Q=")</f>
        <v>#VALUE!</v>
      </c>
      <c r="ED15" t="e">
        <f>AND(ZORUNLU!D76,"AAAAAHVl+4U=")</f>
        <v>#VALUE!</v>
      </c>
      <c r="EE15" t="e">
        <f>AND(ZORUNLU!E76,"AAAAAHVl+4Y=")</f>
        <v>#VALUE!</v>
      </c>
      <c r="EF15" t="e">
        <f>AND(ZORUNLU!F76,"AAAAAHVl+4c=")</f>
        <v>#VALUE!</v>
      </c>
      <c r="EG15" t="e">
        <f>AND(ZORUNLU!G76,"AAAAAHVl+4g=")</f>
        <v>#VALUE!</v>
      </c>
      <c r="EH15" t="e">
        <f>AND(ZORUNLU!H83,"AAAAAHVl+4k=")</f>
        <v>#VALUE!</v>
      </c>
      <c r="EI15" t="e">
        <f>AND(ZORUNLU!I76,"AAAAAHVl+4o=")</f>
        <v>#VALUE!</v>
      </c>
      <c r="EJ15" t="e">
        <f>AND(ZORUNLU!J78,"AAAAAHVl+4s=")</f>
        <v>#VALUE!</v>
      </c>
      <c r="EK15" t="e">
        <f>AND(ZORUNLU!K78,"AAAAAHVl+4w=")</f>
        <v>#VALUE!</v>
      </c>
      <c r="EL15" t="e">
        <f>AND(ZORUNLU!L78,"AAAAAHVl+40=")</f>
        <v>#VALUE!</v>
      </c>
      <c r="EM15" t="e">
        <f>AND(ZORUNLU!M78,"AAAAAHVl+44=")</f>
        <v>#VALUE!</v>
      </c>
      <c r="EN15" t="e">
        <f>AND(ZORUNLU!N78,"AAAAAHVl+48=")</f>
        <v>#VALUE!</v>
      </c>
      <c r="EO15" t="e">
        <f>AND(ZORUNLU!O86,"AAAAAHVl+5A=")</f>
        <v>#VALUE!</v>
      </c>
      <c r="EP15" t="e">
        <f>AND(ZORUNLU!P86,"AAAAAHVl+5E=")</f>
        <v>#VALUE!</v>
      </c>
      <c r="EQ15" t="e">
        <f>AND(ZORUNLU!Q83,"AAAAAHVl+5I=")</f>
        <v>#VALUE!</v>
      </c>
      <c r="ER15" t="e">
        <f>AND(ZORUNLU!R83,"AAAAAHVl+5M=")</f>
        <v>#VALUE!</v>
      </c>
      <c r="ES15" t="e">
        <f>AND(ZORUNLU!S92,"AAAAAHVl+5Q=")</f>
        <v>#VALUE!</v>
      </c>
      <c r="ET15" t="e">
        <f>AND(ZORUNLU!T92,"AAAAAHVl+5U=")</f>
        <v>#VALUE!</v>
      </c>
      <c r="EU15" t="e">
        <f>AND(ZORUNLU!U92,"AAAAAHVl+5Y=")</f>
        <v>#VALUE!</v>
      </c>
      <c r="EV15" t="e">
        <f>AND(ZORUNLU!V92,"AAAAAHVl+5c=")</f>
        <v>#VALUE!</v>
      </c>
      <c r="EW15" t="e">
        <f>AND(ZORUNLU!W92,"AAAAAHVl+5g=")</f>
        <v>#VALUE!</v>
      </c>
      <c r="EX15" t="e">
        <f>AND(ZORUNLU!X92,"AAAAAHVl+5k=")</f>
        <v>#VALUE!</v>
      </c>
      <c r="EY15">
        <f>IF(ZORUNLU!94:94,"AAAAAHVl+5o=",0)</f>
        <v>0</v>
      </c>
      <c r="EZ15" t="e">
        <f>AND(ZORUNLU!B86,"AAAAAHVl+5s=")</f>
        <v>#VALUE!</v>
      </c>
      <c r="FA15" t="e">
        <f>AND(ZORUNLU!C77,"AAAAAHVl+5w=")</f>
        <v>#VALUE!</v>
      </c>
      <c r="FB15" t="e">
        <f>AND(ZORUNLU!D77,"AAAAAHVl+50=")</f>
        <v>#VALUE!</v>
      </c>
      <c r="FC15" t="e">
        <f>AND(ZORUNLU!E77,"AAAAAHVl+54=")</f>
        <v>#VALUE!</v>
      </c>
      <c r="FD15" t="e">
        <f>AND(ZORUNLU!F77,"AAAAAHVl+58=")</f>
        <v>#VALUE!</v>
      </c>
      <c r="FE15" t="e">
        <f>AND(ZORUNLU!G77,"AAAAAHVl+6A=")</f>
        <v>#VALUE!</v>
      </c>
      <c r="FF15" t="e">
        <f>AND(ZORUNLU!H84,"AAAAAHVl+6E=")</f>
        <v>#VALUE!</v>
      </c>
      <c r="FG15" t="e">
        <f>AND(ZORUNLU!I77,"AAAAAHVl+6I=")</f>
        <v>#VALUE!</v>
      </c>
      <c r="FH15" t="e">
        <f>AND(ZORUNLU!J79,"AAAAAHVl+6M=")</f>
        <v>#VALUE!</v>
      </c>
      <c r="FI15" t="e">
        <f>AND(ZORUNLU!K79,"AAAAAHVl+6Q=")</f>
        <v>#VALUE!</v>
      </c>
      <c r="FJ15" t="e">
        <f>AND(ZORUNLU!L79,"AAAAAHVl+6U=")</f>
        <v>#VALUE!</v>
      </c>
      <c r="FK15" t="e">
        <f>AND(ZORUNLU!M79,"AAAAAHVl+6Y=")</f>
        <v>#VALUE!</v>
      </c>
      <c r="FL15" t="e">
        <f>AND(ZORUNLU!N79,"AAAAAHVl+6c=")</f>
        <v>#VALUE!</v>
      </c>
      <c r="FM15" t="e">
        <f>AND(ZORUNLU!O87,"AAAAAHVl+6g=")</f>
        <v>#VALUE!</v>
      </c>
      <c r="FN15" t="e">
        <f>AND(ZORUNLU!P87,"AAAAAHVl+6k=")</f>
        <v>#VALUE!</v>
      </c>
      <c r="FO15" t="e">
        <f>AND(ZORUNLU!Q84,"AAAAAHVl+6o=")</f>
        <v>#VALUE!</v>
      </c>
      <c r="FP15" t="e">
        <f>AND(ZORUNLU!R84,"AAAAAHVl+6s=")</f>
        <v>#VALUE!</v>
      </c>
      <c r="FQ15" t="e">
        <f>AND(ZORUNLU!S93,"AAAAAHVl+6w=")</f>
        <v>#VALUE!</v>
      </c>
      <c r="FR15" t="e">
        <f>AND(ZORUNLU!T93,"AAAAAHVl+60=")</f>
        <v>#VALUE!</v>
      </c>
      <c r="FS15" t="e">
        <f>AND(ZORUNLU!U93,"AAAAAHVl+64=")</f>
        <v>#VALUE!</v>
      </c>
      <c r="FT15" t="e">
        <f>AND(ZORUNLU!V93,"AAAAAHVl+68=")</f>
        <v>#VALUE!</v>
      </c>
      <c r="FU15" t="e">
        <f>AND(ZORUNLU!W93,"AAAAAHVl+7A=")</f>
        <v>#VALUE!</v>
      </c>
      <c r="FV15" t="e">
        <f>AND(ZORUNLU!X93,"AAAAAHVl+7E=")</f>
        <v>#VALUE!</v>
      </c>
      <c r="FW15">
        <f>IF(ZORUNLU!95:95,"AAAAAHVl+7I=",0)</f>
        <v>0</v>
      </c>
      <c r="FX15" t="e">
        <f>AND(ZORUNLU!B87,"AAAAAHVl+7M=")</f>
        <v>#VALUE!</v>
      </c>
      <c r="FY15" t="e">
        <f>AND(ZORUNLU!C78,"AAAAAHVl+7Q=")</f>
        <v>#VALUE!</v>
      </c>
      <c r="FZ15" t="e">
        <f>AND(ZORUNLU!D78,"AAAAAHVl+7U=")</f>
        <v>#VALUE!</v>
      </c>
      <c r="GA15" t="e">
        <f>AND(ZORUNLU!E78,"AAAAAHVl+7Y=")</f>
        <v>#VALUE!</v>
      </c>
      <c r="GB15" t="e">
        <f>AND(ZORUNLU!F78,"AAAAAHVl+7c=")</f>
        <v>#VALUE!</v>
      </c>
      <c r="GC15" t="e">
        <f>AND(ZORUNLU!G78,"AAAAAHVl+7g=")</f>
        <v>#VALUE!</v>
      </c>
      <c r="GD15" t="e">
        <f>AND(ZORUNLU!H85,"AAAAAHVl+7k=")</f>
        <v>#VALUE!</v>
      </c>
      <c r="GE15" t="e">
        <f>AND(ZORUNLU!I78,"AAAAAHVl+7o=")</f>
        <v>#VALUE!</v>
      </c>
      <c r="GF15" t="e">
        <f>AND(ZORUNLU!J80,"AAAAAHVl+7s=")</f>
        <v>#VALUE!</v>
      </c>
      <c r="GG15" t="e">
        <f>AND(ZORUNLU!K80,"AAAAAHVl+7w=")</f>
        <v>#VALUE!</v>
      </c>
      <c r="GH15" t="e">
        <f>AND(ZORUNLU!L80,"AAAAAHVl+70=")</f>
        <v>#VALUE!</v>
      </c>
      <c r="GI15" t="e">
        <f>AND(ZORUNLU!M80,"AAAAAHVl+74=")</f>
        <v>#VALUE!</v>
      </c>
      <c r="GJ15" t="e">
        <f>AND(ZORUNLU!N80,"AAAAAHVl+78=")</f>
        <v>#VALUE!</v>
      </c>
      <c r="GK15" t="e">
        <f>AND(ZORUNLU!O88,"AAAAAHVl+8A=")</f>
        <v>#VALUE!</v>
      </c>
      <c r="GL15" t="e">
        <f>AND(ZORUNLU!P88,"AAAAAHVl+8E=")</f>
        <v>#VALUE!</v>
      </c>
      <c r="GM15" t="e">
        <f>AND(ZORUNLU!Q85,"AAAAAHVl+8I=")</f>
        <v>#VALUE!</v>
      </c>
      <c r="GN15" t="e">
        <f>AND(ZORUNLU!R85,"AAAAAHVl+8M=")</f>
        <v>#VALUE!</v>
      </c>
      <c r="GO15" t="e">
        <f>AND(ZORUNLU!S94,"AAAAAHVl+8Q=")</f>
        <v>#VALUE!</v>
      </c>
      <c r="GP15" t="e">
        <f>AND(ZORUNLU!T94,"AAAAAHVl+8U=")</f>
        <v>#VALUE!</v>
      </c>
      <c r="GQ15" t="e">
        <f>AND(ZORUNLU!U94,"AAAAAHVl+8Y=")</f>
        <v>#VALUE!</v>
      </c>
      <c r="GR15" t="e">
        <f>AND(ZORUNLU!V94,"AAAAAHVl+8c=")</f>
        <v>#VALUE!</v>
      </c>
      <c r="GS15" t="e">
        <f>AND(ZORUNLU!W94,"AAAAAHVl+8g=")</f>
        <v>#VALUE!</v>
      </c>
      <c r="GT15" t="e">
        <f>AND(ZORUNLU!X94,"AAAAAHVl+8k=")</f>
        <v>#VALUE!</v>
      </c>
      <c r="GU15">
        <f>IF(ZORUNLU!96:96,"AAAAAHVl+8o=",0)</f>
        <v>0</v>
      </c>
      <c r="GV15" t="e">
        <f>AND(ZORUNLU!B88,"AAAAAHVl+8s=")</f>
        <v>#VALUE!</v>
      </c>
      <c r="GW15" t="e">
        <f>AND(ZORUNLU!C79,"AAAAAHVl+8w=")</f>
        <v>#VALUE!</v>
      </c>
      <c r="GX15" t="e">
        <f>AND(ZORUNLU!D79,"AAAAAHVl+80=")</f>
        <v>#VALUE!</v>
      </c>
      <c r="GY15" t="e">
        <f>AND(ZORUNLU!E79,"AAAAAHVl+84=")</f>
        <v>#VALUE!</v>
      </c>
      <c r="GZ15" t="e">
        <f>AND(ZORUNLU!F79,"AAAAAHVl+88=")</f>
        <v>#VALUE!</v>
      </c>
      <c r="HA15" t="e">
        <f>AND(ZORUNLU!G79,"AAAAAHVl+9A=")</f>
        <v>#VALUE!</v>
      </c>
      <c r="HB15" t="e">
        <f>AND(ZORUNLU!H86,"AAAAAHVl+9E=")</f>
        <v>#VALUE!</v>
      </c>
      <c r="HC15" t="e">
        <f>AND(ZORUNLU!I79,"AAAAAHVl+9I=")</f>
        <v>#VALUE!</v>
      </c>
      <c r="HD15" t="e">
        <f>AND(ZORUNLU!J81,"AAAAAHVl+9M=")</f>
        <v>#VALUE!</v>
      </c>
      <c r="HE15" t="e">
        <f>AND(ZORUNLU!K81,"AAAAAHVl+9Q=")</f>
        <v>#VALUE!</v>
      </c>
      <c r="HF15" t="e">
        <f>AND(ZORUNLU!L81,"AAAAAHVl+9U=")</f>
        <v>#VALUE!</v>
      </c>
      <c r="HG15" t="e">
        <f>AND(ZORUNLU!M81,"AAAAAHVl+9Y=")</f>
        <v>#VALUE!</v>
      </c>
      <c r="HH15" t="e">
        <f>AND(ZORUNLU!N81,"AAAAAHVl+9c=")</f>
        <v>#VALUE!</v>
      </c>
      <c r="HI15" t="e">
        <f>AND(ZORUNLU!O89,"AAAAAHVl+9g=")</f>
        <v>#VALUE!</v>
      </c>
      <c r="HJ15" t="e">
        <f>AND(ZORUNLU!P89,"AAAAAHVl+9k=")</f>
        <v>#VALUE!</v>
      </c>
      <c r="HK15" t="e">
        <f>AND(ZORUNLU!Q86,"AAAAAHVl+9o=")</f>
        <v>#VALUE!</v>
      </c>
      <c r="HL15" t="e">
        <f>AND(ZORUNLU!R86,"AAAAAHVl+9s=")</f>
        <v>#VALUE!</v>
      </c>
      <c r="HM15" t="e">
        <f>AND(ZORUNLU!S95,"AAAAAHVl+9w=")</f>
        <v>#VALUE!</v>
      </c>
      <c r="HN15" t="e">
        <f>AND(ZORUNLU!T95,"AAAAAHVl+90=")</f>
        <v>#VALUE!</v>
      </c>
      <c r="HO15" t="e">
        <f>AND(ZORUNLU!U95,"AAAAAHVl+94=")</f>
        <v>#VALUE!</v>
      </c>
      <c r="HP15" t="e">
        <f>AND(ZORUNLU!V95,"AAAAAHVl+98=")</f>
        <v>#VALUE!</v>
      </c>
      <c r="HQ15" t="e">
        <f>AND(ZORUNLU!W95,"AAAAAHVl++A=")</f>
        <v>#VALUE!</v>
      </c>
      <c r="HR15" t="e">
        <f>AND(ZORUNLU!X95,"AAAAAHVl++E=")</f>
        <v>#VALUE!</v>
      </c>
      <c r="HS15">
        <f>IF(ZORUNLU!97:97,"AAAAAHVl++I=",0)</f>
        <v>0</v>
      </c>
      <c r="HT15" t="e">
        <f>AND(ZORUNLU!B89,"AAAAAHVl++M=")</f>
        <v>#VALUE!</v>
      </c>
      <c r="HU15" t="e">
        <f>AND(ZORUNLU!C80,"AAAAAHVl++Q=")</f>
        <v>#VALUE!</v>
      </c>
      <c r="HV15" t="e">
        <f>AND(ZORUNLU!D80,"AAAAAHVl++U=")</f>
        <v>#VALUE!</v>
      </c>
      <c r="HW15" t="e">
        <f>AND(ZORUNLU!E80,"AAAAAHVl++Y=")</f>
        <v>#VALUE!</v>
      </c>
      <c r="HX15" t="e">
        <f>AND(ZORUNLU!F80,"AAAAAHVl++c=")</f>
        <v>#VALUE!</v>
      </c>
      <c r="HY15" t="e">
        <f>AND(ZORUNLU!G80,"AAAAAHVl++g=")</f>
        <v>#VALUE!</v>
      </c>
      <c r="HZ15" t="e">
        <f>AND(ZORUNLU!H87,"AAAAAHVl++k=")</f>
        <v>#VALUE!</v>
      </c>
      <c r="IA15" t="e">
        <f>AND(ZORUNLU!I80,"AAAAAHVl++o=")</f>
        <v>#VALUE!</v>
      </c>
      <c r="IB15" t="e">
        <f>AND(ZORUNLU!J82,"AAAAAHVl++s=")</f>
        <v>#VALUE!</v>
      </c>
      <c r="IC15" t="e">
        <f>AND(ZORUNLU!K82,"AAAAAHVl++w=")</f>
        <v>#VALUE!</v>
      </c>
      <c r="ID15" t="e">
        <f>AND(ZORUNLU!L82,"AAAAAHVl++0=")</f>
        <v>#VALUE!</v>
      </c>
      <c r="IE15" t="e">
        <f>AND(ZORUNLU!M82,"AAAAAHVl++4=")</f>
        <v>#VALUE!</v>
      </c>
      <c r="IF15" t="e">
        <f>AND(ZORUNLU!N82,"AAAAAHVl++8=")</f>
        <v>#VALUE!</v>
      </c>
      <c r="IG15" t="e">
        <f>AND(ZORUNLU!O90,"AAAAAHVl+/A=")</f>
        <v>#VALUE!</v>
      </c>
      <c r="IH15" t="e">
        <f>AND(ZORUNLU!P90,"AAAAAHVl+/E=")</f>
        <v>#VALUE!</v>
      </c>
      <c r="II15" t="e">
        <f>AND(ZORUNLU!Q87,"AAAAAHVl+/I=")</f>
        <v>#VALUE!</v>
      </c>
      <c r="IJ15" t="e">
        <f>AND(ZORUNLU!R87,"AAAAAHVl+/M=")</f>
        <v>#VALUE!</v>
      </c>
      <c r="IK15" t="e">
        <f>AND(ZORUNLU!S96,"AAAAAHVl+/Q=")</f>
        <v>#VALUE!</v>
      </c>
      <c r="IL15" t="e">
        <f>AND(ZORUNLU!T96,"AAAAAHVl+/U=")</f>
        <v>#VALUE!</v>
      </c>
      <c r="IM15" t="e">
        <f>AND(ZORUNLU!U96,"AAAAAHVl+/Y=")</f>
        <v>#VALUE!</v>
      </c>
      <c r="IN15" t="e">
        <f>AND(ZORUNLU!V96,"AAAAAHVl+/c=")</f>
        <v>#VALUE!</v>
      </c>
      <c r="IO15" t="e">
        <f>AND(ZORUNLU!W96,"AAAAAHVl+/g=")</f>
        <v>#VALUE!</v>
      </c>
      <c r="IP15" t="e">
        <f>AND(ZORUNLU!X96,"AAAAAHVl+/k=")</f>
        <v>#VALUE!</v>
      </c>
      <c r="IQ15">
        <f>IF(ZORUNLU!98:98,"AAAAAHVl+/o=",0)</f>
        <v>0</v>
      </c>
      <c r="IR15" t="e">
        <f>AND(ZORUNLU!B90,"AAAAAHVl+/s=")</f>
        <v>#VALUE!</v>
      </c>
      <c r="IS15" t="e">
        <f>AND(ZORUNLU!C81,"AAAAAHVl+/w=")</f>
        <v>#VALUE!</v>
      </c>
      <c r="IT15" t="e">
        <f>AND(ZORUNLU!D81,"AAAAAHVl+/0=")</f>
        <v>#VALUE!</v>
      </c>
      <c r="IU15" t="e">
        <f>AND(ZORUNLU!E81,"AAAAAHVl+/4=")</f>
        <v>#VALUE!</v>
      </c>
      <c r="IV15" t="e">
        <f>AND(ZORUNLU!F81,"AAAAAHVl+/8=")</f>
        <v>#VALUE!</v>
      </c>
    </row>
    <row r="16" spans="1:256" x14ac:dyDescent="0.25">
      <c r="A16" t="e">
        <f>AND(ZORUNLU!G81,"AAAAAH3W/QA=")</f>
        <v>#VALUE!</v>
      </c>
      <c r="B16" t="e">
        <f>AND(ZORUNLU!H88,"AAAAAH3W/QE=")</f>
        <v>#VALUE!</v>
      </c>
      <c r="C16" t="e">
        <f>AND(ZORUNLU!I81,"AAAAAH3W/QI=")</f>
        <v>#VALUE!</v>
      </c>
      <c r="D16" t="e">
        <f>AND(ZORUNLU!J83,"AAAAAH3W/QM=")</f>
        <v>#VALUE!</v>
      </c>
      <c r="E16" t="e">
        <f>AND(ZORUNLU!K83,"AAAAAH3W/QQ=")</f>
        <v>#VALUE!</v>
      </c>
      <c r="F16" t="e">
        <f>AND(ZORUNLU!L83,"AAAAAH3W/QU=")</f>
        <v>#VALUE!</v>
      </c>
      <c r="G16" t="e">
        <f>AND(ZORUNLU!M83,"AAAAAH3W/QY=")</f>
        <v>#VALUE!</v>
      </c>
      <c r="H16" t="e">
        <f>AND(ZORUNLU!N83,"AAAAAH3W/Qc=")</f>
        <v>#VALUE!</v>
      </c>
      <c r="I16" t="e">
        <f>AND(ZORUNLU!O91,"AAAAAH3W/Qg=")</f>
        <v>#VALUE!</v>
      </c>
      <c r="J16" t="e">
        <f>AND(ZORUNLU!P91,"AAAAAH3W/Qk=")</f>
        <v>#VALUE!</v>
      </c>
      <c r="K16" t="e">
        <f>AND(ZORUNLU!Q88,"AAAAAH3W/Qo=")</f>
        <v>#VALUE!</v>
      </c>
      <c r="L16" t="e">
        <f>AND(ZORUNLU!R88,"AAAAAH3W/Qs=")</f>
        <v>#VALUE!</v>
      </c>
      <c r="M16" t="e">
        <f>AND(ZORUNLU!S97,"AAAAAH3W/Qw=")</f>
        <v>#VALUE!</v>
      </c>
      <c r="N16" t="e">
        <f>AND(ZORUNLU!T97,"AAAAAH3W/Q0=")</f>
        <v>#VALUE!</v>
      </c>
      <c r="O16" t="e">
        <f>AND(ZORUNLU!U97,"AAAAAH3W/Q4=")</f>
        <v>#VALUE!</v>
      </c>
      <c r="P16" t="e">
        <f>AND(ZORUNLU!V97,"AAAAAH3W/Q8=")</f>
        <v>#VALUE!</v>
      </c>
      <c r="Q16" t="e">
        <f>AND(ZORUNLU!W97,"AAAAAH3W/RA=")</f>
        <v>#VALUE!</v>
      </c>
      <c r="R16" t="e">
        <f>AND(ZORUNLU!X97,"AAAAAH3W/RE=")</f>
        <v>#VALUE!</v>
      </c>
      <c r="S16">
        <f>IF(ZORUNLU!99:99,"AAAAAH3W/RI=",0)</f>
        <v>0</v>
      </c>
      <c r="T16" t="e">
        <f>AND(ZORUNLU!B91,"AAAAAH3W/RM=")</f>
        <v>#VALUE!</v>
      </c>
      <c r="U16" t="e">
        <f>AND(ZORUNLU!C82,"AAAAAH3W/RQ=")</f>
        <v>#VALUE!</v>
      </c>
      <c r="V16" t="e">
        <f>AND(ZORUNLU!D82,"AAAAAH3W/RU=")</f>
        <v>#VALUE!</v>
      </c>
      <c r="W16" t="e">
        <f>AND(ZORUNLU!E82,"AAAAAH3W/RY=")</f>
        <v>#VALUE!</v>
      </c>
      <c r="X16" t="e">
        <f>AND(ZORUNLU!F82,"AAAAAH3W/Rc=")</f>
        <v>#VALUE!</v>
      </c>
      <c r="Y16" t="e">
        <f>AND(ZORUNLU!G82,"AAAAAH3W/Rg=")</f>
        <v>#VALUE!</v>
      </c>
      <c r="Z16" t="e">
        <f>AND(ZORUNLU!H89,"AAAAAH3W/Rk=")</f>
        <v>#VALUE!</v>
      </c>
      <c r="AA16" t="e">
        <f>AND(ZORUNLU!I82,"AAAAAH3W/Ro=")</f>
        <v>#VALUE!</v>
      </c>
      <c r="AB16" t="e">
        <f>AND(ZORUNLU!J84,"AAAAAH3W/Rs=")</f>
        <v>#VALUE!</v>
      </c>
      <c r="AC16" t="e">
        <f>AND(ZORUNLU!K84,"AAAAAH3W/Rw=")</f>
        <v>#VALUE!</v>
      </c>
      <c r="AD16" t="e">
        <f>AND(ZORUNLU!L84,"AAAAAH3W/R0=")</f>
        <v>#VALUE!</v>
      </c>
      <c r="AE16" t="e">
        <f>AND(ZORUNLU!M84,"AAAAAH3W/R4=")</f>
        <v>#VALUE!</v>
      </c>
      <c r="AF16" t="e">
        <f>AND(ZORUNLU!N84,"AAAAAH3W/R8=")</f>
        <v>#VALUE!</v>
      </c>
      <c r="AG16" t="e">
        <f>AND(ZORUNLU!O92,"AAAAAH3W/SA=")</f>
        <v>#VALUE!</v>
      </c>
      <c r="AH16" t="e">
        <f>AND(ZORUNLU!P92,"AAAAAH3W/SE=")</f>
        <v>#VALUE!</v>
      </c>
      <c r="AI16" t="e">
        <f>AND(ZORUNLU!Q89,"AAAAAH3W/SI=")</f>
        <v>#VALUE!</v>
      </c>
      <c r="AJ16" t="e">
        <f>AND(ZORUNLU!R89,"AAAAAH3W/SM=")</f>
        <v>#VALUE!</v>
      </c>
      <c r="AK16" t="e">
        <f>AND(ZORUNLU!S98,"AAAAAH3W/SQ=")</f>
        <v>#VALUE!</v>
      </c>
      <c r="AL16" t="e">
        <f>AND(ZORUNLU!T98,"AAAAAH3W/SU=")</f>
        <v>#VALUE!</v>
      </c>
      <c r="AM16" t="e">
        <f>AND(ZORUNLU!U98,"AAAAAH3W/SY=")</f>
        <v>#VALUE!</v>
      </c>
      <c r="AN16" t="e">
        <f>AND(ZORUNLU!V98,"AAAAAH3W/Sc=")</f>
        <v>#VALUE!</v>
      </c>
      <c r="AO16" t="e">
        <f>AND(ZORUNLU!W98,"AAAAAH3W/Sg=")</f>
        <v>#VALUE!</v>
      </c>
      <c r="AP16" t="e">
        <f>AND(ZORUNLU!X98,"AAAAAH3W/Sk=")</f>
        <v>#VALUE!</v>
      </c>
      <c r="AQ16">
        <f>IF(ZORUNLU!100:100,"AAAAAH3W/So=",0)</f>
        <v>0</v>
      </c>
      <c r="AR16" t="e">
        <f>AND(ZORUNLU!B92,"AAAAAH3W/Ss=")</f>
        <v>#VALUE!</v>
      </c>
      <c r="AS16" t="e">
        <f>AND(ZORUNLU!C83,"AAAAAH3W/Sw=")</f>
        <v>#VALUE!</v>
      </c>
      <c r="AT16" t="e">
        <f>AND(ZORUNLU!D83,"AAAAAH3W/S0=")</f>
        <v>#VALUE!</v>
      </c>
      <c r="AU16" t="e">
        <f>AND(ZORUNLU!E83,"AAAAAH3W/S4=")</f>
        <v>#VALUE!</v>
      </c>
      <c r="AV16" t="e">
        <f>AND(ZORUNLU!F83,"AAAAAH3W/S8=")</f>
        <v>#VALUE!</v>
      </c>
      <c r="AW16" t="e">
        <f>AND(ZORUNLU!G83,"AAAAAH3W/TA=")</f>
        <v>#VALUE!</v>
      </c>
      <c r="AX16" t="e">
        <f>AND(ZORUNLU!H90,"AAAAAH3W/TE=")</f>
        <v>#VALUE!</v>
      </c>
      <c r="AY16" t="e">
        <f>AND(ZORUNLU!I83,"AAAAAH3W/TI=")</f>
        <v>#VALUE!</v>
      </c>
      <c r="AZ16" t="e">
        <f>AND(ZORUNLU!J85,"AAAAAH3W/TM=")</f>
        <v>#VALUE!</v>
      </c>
      <c r="BA16" t="e">
        <f>AND(ZORUNLU!K85,"AAAAAH3W/TQ=")</f>
        <v>#VALUE!</v>
      </c>
      <c r="BB16" t="e">
        <f>AND(ZORUNLU!L85,"AAAAAH3W/TU=")</f>
        <v>#VALUE!</v>
      </c>
      <c r="BC16" t="e">
        <f>AND(ZORUNLU!M85,"AAAAAH3W/TY=")</f>
        <v>#VALUE!</v>
      </c>
      <c r="BD16" t="e">
        <f>AND(ZORUNLU!N85,"AAAAAH3W/Tc=")</f>
        <v>#VALUE!</v>
      </c>
      <c r="BE16" t="e">
        <f>AND(ZORUNLU!O93,"AAAAAH3W/Tg=")</f>
        <v>#VALUE!</v>
      </c>
      <c r="BF16" t="e">
        <f>AND(ZORUNLU!P93,"AAAAAH3W/Tk=")</f>
        <v>#VALUE!</v>
      </c>
      <c r="BG16" t="e">
        <f>AND(ZORUNLU!Q90,"AAAAAH3W/To=")</f>
        <v>#VALUE!</v>
      </c>
      <c r="BH16" t="e">
        <f>AND(ZORUNLU!R90,"AAAAAH3W/Ts=")</f>
        <v>#VALUE!</v>
      </c>
      <c r="BI16" t="e">
        <f>AND(ZORUNLU!S99,"AAAAAH3W/Tw=")</f>
        <v>#VALUE!</v>
      </c>
      <c r="BJ16" t="e">
        <f>AND(ZORUNLU!T99,"AAAAAH3W/T0=")</f>
        <v>#VALUE!</v>
      </c>
      <c r="BK16" t="e">
        <f>AND(ZORUNLU!U99,"AAAAAH3W/T4=")</f>
        <v>#VALUE!</v>
      </c>
      <c r="BL16" t="e">
        <f>AND(ZORUNLU!V99,"AAAAAH3W/T8=")</f>
        <v>#VALUE!</v>
      </c>
      <c r="BM16" t="e">
        <f>AND(ZORUNLU!W99,"AAAAAH3W/UA=")</f>
        <v>#VALUE!</v>
      </c>
      <c r="BN16" t="e">
        <f>AND(ZORUNLU!X99,"AAAAAH3W/UE=")</f>
        <v>#VALUE!</v>
      </c>
      <c r="BO16">
        <f>IF(ZORUNLU!101:101,"AAAAAH3W/UI=",0)</f>
        <v>0</v>
      </c>
      <c r="BP16" t="e">
        <f>AND(ZORUNLU!B93,"AAAAAH3W/UM=")</f>
        <v>#VALUE!</v>
      </c>
      <c r="BQ16" t="e">
        <f>AND(ZORUNLU!C84,"AAAAAH3W/UQ=")</f>
        <v>#VALUE!</v>
      </c>
      <c r="BR16" t="e">
        <f>AND(ZORUNLU!D84,"AAAAAH3W/UU=")</f>
        <v>#VALUE!</v>
      </c>
      <c r="BS16" t="e">
        <f>AND(ZORUNLU!E84,"AAAAAH3W/UY=")</f>
        <v>#VALUE!</v>
      </c>
      <c r="BT16" t="e">
        <f>AND(ZORUNLU!F84,"AAAAAH3W/Uc=")</f>
        <v>#VALUE!</v>
      </c>
      <c r="BU16" t="e">
        <f>AND(ZORUNLU!G84,"AAAAAH3W/Ug=")</f>
        <v>#VALUE!</v>
      </c>
      <c r="BV16" t="e">
        <f>AND(ZORUNLU!H91,"AAAAAH3W/Uk=")</f>
        <v>#VALUE!</v>
      </c>
      <c r="BW16" t="e">
        <f>AND(ZORUNLU!I84,"AAAAAH3W/Uo=")</f>
        <v>#VALUE!</v>
      </c>
      <c r="BX16" t="e">
        <f>AND(ZORUNLU!J86,"AAAAAH3W/Us=")</f>
        <v>#VALUE!</v>
      </c>
      <c r="BY16" t="e">
        <f>AND(ZORUNLU!K86,"AAAAAH3W/Uw=")</f>
        <v>#VALUE!</v>
      </c>
      <c r="BZ16" t="e">
        <f>AND(ZORUNLU!L86,"AAAAAH3W/U0=")</f>
        <v>#VALUE!</v>
      </c>
      <c r="CA16" t="e">
        <f>AND(ZORUNLU!M86,"AAAAAH3W/U4=")</f>
        <v>#VALUE!</v>
      </c>
      <c r="CB16" t="e">
        <f>AND(ZORUNLU!N86,"AAAAAH3W/U8=")</f>
        <v>#VALUE!</v>
      </c>
      <c r="CC16" t="e">
        <f>AND(ZORUNLU!O94,"AAAAAH3W/VA=")</f>
        <v>#VALUE!</v>
      </c>
      <c r="CD16" t="e">
        <f>AND(ZORUNLU!P94,"AAAAAH3W/VE=")</f>
        <v>#VALUE!</v>
      </c>
      <c r="CE16" t="e">
        <f>AND(ZORUNLU!Q91,"AAAAAH3W/VI=")</f>
        <v>#VALUE!</v>
      </c>
      <c r="CF16" t="e">
        <f>AND(ZORUNLU!R91,"AAAAAH3W/VM=")</f>
        <v>#VALUE!</v>
      </c>
      <c r="CG16" t="e">
        <f>AND(ZORUNLU!S100,"AAAAAH3W/VQ=")</f>
        <v>#VALUE!</v>
      </c>
      <c r="CH16" t="e">
        <f>AND(ZORUNLU!T100,"AAAAAH3W/VU=")</f>
        <v>#VALUE!</v>
      </c>
      <c r="CI16" t="e">
        <f>AND(ZORUNLU!U100,"AAAAAH3W/VY=")</f>
        <v>#VALUE!</v>
      </c>
      <c r="CJ16" t="e">
        <f>AND(ZORUNLU!V100,"AAAAAH3W/Vc=")</f>
        <v>#VALUE!</v>
      </c>
      <c r="CK16" t="e">
        <f>AND(ZORUNLU!W100,"AAAAAH3W/Vg=")</f>
        <v>#VALUE!</v>
      </c>
      <c r="CL16" t="e">
        <f>AND(ZORUNLU!X100,"AAAAAH3W/Vk=")</f>
        <v>#VALUE!</v>
      </c>
      <c r="CM16">
        <f>IF(ZORUNLU!102:102,"AAAAAH3W/Vo=",0)</f>
        <v>0</v>
      </c>
      <c r="CN16" t="e">
        <f>AND(ZORUNLU!B94,"AAAAAH3W/Vs=")</f>
        <v>#VALUE!</v>
      </c>
      <c r="CO16" t="e">
        <f>AND(ZORUNLU!C85,"AAAAAH3W/Vw=")</f>
        <v>#VALUE!</v>
      </c>
      <c r="CP16" t="e">
        <f>AND(ZORUNLU!D85,"AAAAAH3W/V0=")</f>
        <v>#VALUE!</v>
      </c>
      <c r="CQ16" t="e">
        <f>AND(ZORUNLU!E85,"AAAAAH3W/V4=")</f>
        <v>#VALUE!</v>
      </c>
      <c r="CR16" t="e">
        <f>AND(ZORUNLU!F85,"AAAAAH3W/V8=")</f>
        <v>#VALUE!</v>
      </c>
      <c r="CS16" t="e">
        <f>AND(ZORUNLU!G85,"AAAAAH3W/WA=")</f>
        <v>#VALUE!</v>
      </c>
      <c r="CT16" t="e">
        <f>AND(ZORUNLU!H92,"AAAAAH3W/WE=")</f>
        <v>#VALUE!</v>
      </c>
      <c r="CU16" t="e">
        <f>AND(ZORUNLU!I85,"AAAAAH3W/WI=")</f>
        <v>#VALUE!</v>
      </c>
      <c r="CV16" t="e">
        <f>AND(ZORUNLU!J87,"AAAAAH3W/WM=")</f>
        <v>#VALUE!</v>
      </c>
      <c r="CW16" t="e">
        <f>AND(ZORUNLU!K87,"AAAAAH3W/WQ=")</f>
        <v>#VALUE!</v>
      </c>
      <c r="CX16" t="e">
        <f>AND(ZORUNLU!L87,"AAAAAH3W/WU=")</f>
        <v>#VALUE!</v>
      </c>
      <c r="CY16" t="e">
        <f>AND(ZORUNLU!M87,"AAAAAH3W/WY=")</f>
        <v>#VALUE!</v>
      </c>
      <c r="CZ16" t="e">
        <f>AND(ZORUNLU!N87,"AAAAAH3W/Wc=")</f>
        <v>#VALUE!</v>
      </c>
      <c r="DA16" t="e">
        <f>AND(ZORUNLU!O95,"AAAAAH3W/Wg=")</f>
        <v>#VALUE!</v>
      </c>
      <c r="DB16" t="e">
        <f>AND(ZORUNLU!P95,"AAAAAH3W/Wk=")</f>
        <v>#VALUE!</v>
      </c>
      <c r="DC16" t="e">
        <f>AND(ZORUNLU!Q92,"AAAAAH3W/Wo=")</f>
        <v>#VALUE!</v>
      </c>
      <c r="DD16" t="e">
        <f>AND(ZORUNLU!R92,"AAAAAH3W/Ws=")</f>
        <v>#VALUE!</v>
      </c>
      <c r="DE16" t="e">
        <f>AND(ZORUNLU!S101,"AAAAAH3W/Ww=")</f>
        <v>#VALUE!</v>
      </c>
      <c r="DF16" t="e">
        <f>AND(ZORUNLU!T101,"AAAAAH3W/W0=")</f>
        <v>#VALUE!</v>
      </c>
      <c r="DG16" t="e">
        <f>AND(ZORUNLU!U101,"AAAAAH3W/W4=")</f>
        <v>#VALUE!</v>
      </c>
      <c r="DH16" t="e">
        <f>AND(ZORUNLU!V101,"AAAAAH3W/W8=")</f>
        <v>#VALUE!</v>
      </c>
      <c r="DI16" t="e">
        <f>AND(ZORUNLU!W101,"AAAAAH3W/XA=")</f>
        <v>#VALUE!</v>
      </c>
      <c r="DJ16" t="e">
        <f>AND(ZORUNLU!X101,"AAAAAH3W/XE=")</f>
        <v>#VALUE!</v>
      </c>
      <c r="DK16">
        <f>IF(ZORUNLU!103:103,"AAAAAH3W/XI=",0)</f>
        <v>0</v>
      </c>
      <c r="DL16" t="e">
        <f>AND(ZORUNLU!B95,"AAAAAH3W/XM=")</f>
        <v>#VALUE!</v>
      </c>
      <c r="DM16" t="e">
        <f>AND(ZORUNLU!C86,"AAAAAH3W/XQ=")</f>
        <v>#VALUE!</v>
      </c>
      <c r="DN16" t="e">
        <f>AND(ZORUNLU!D86,"AAAAAH3W/XU=")</f>
        <v>#VALUE!</v>
      </c>
      <c r="DO16" t="e">
        <f>AND(ZORUNLU!E86,"AAAAAH3W/XY=")</f>
        <v>#VALUE!</v>
      </c>
      <c r="DP16" t="e">
        <f>AND(ZORUNLU!F86,"AAAAAH3W/Xc=")</f>
        <v>#VALUE!</v>
      </c>
      <c r="DQ16" t="e">
        <f>AND(ZORUNLU!G86,"AAAAAH3W/Xg=")</f>
        <v>#VALUE!</v>
      </c>
      <c r="DR16" t="e">
        <f>AND(ZORUNLU!H93,"AAAAAH3W/Xk=")</f>
        <v>#VALUE!</v>
      </c>
      <c r="DS16" t="e">
        <f>AND(ZORUNLU!I86,"AAAAAH3W/Xo=")</f>
        <v>#VALUE!</v>
      </c>
      <c r="DT16" t="e">
        <f>AND(ZORUNLU!J88,"AAAAAH3W/Xs=")</f>
        <v>#VALUE!</v>
      </c>
      <c r="DU16" t="e">
        <f>AND(ZORUNLU!K88,"AAAAAH3W/Xw=")</f>
        <v>#VALUE!</v>
      </c>
      <c r="DV16" t="e">
        <f>AND(ZORUNLU!L88,"AAAAAH3W/X0=")</f>
        <v>#VALUE!</v>
      </c>
      <c r="DW16" t="e">
        <f>AND(ZORUNLU!M88,"AAAAAH3W/X4=")</f>
        <v>#VALUE!</v>
      </c>
      <c r="DX16" t="e">
        <f>AND(ZORUNLU!N88,"AAAAAH3W/X8=")</f>
        <v>#VALUE!</v>
      </c>
      <c r="DY16" t="e">
        <f>AND(ZORUNLU!O96,"AAAAAH3W/YA=")</f>
        <v>#VALUE!</v>
      </c>
      <c r="DZ16" t="e">
        <f>AND(ZORUNLU!P96,"AAAAAH3W/YE=")</f>
        <v>#VALUE!</v>
      </c>
      <c r="EA16" t="e">
        <f>AND(ZORUNLU!Q93,"AAAAAH3W/YI=")</f>
        <v>#VALUE!</v>
      </c>
      <c r="EB16" t="e">
        <f>AND(ZORUNLU!R93,"AAAAAH3W/YM=")</f>
        <v>#VALUE!</v>
      </c>
      <c r="EC16" t="e">
        <f>AND(ZORUNLU!S102,"AAAAAH3W/YQ=")</f>
        <v>#VALUE!</v>
      </c>
      <c r="ED16" t="e">
        <f>AND(ZORUNLU!T102,"AAAAAH3W/YU=")</f>
        <v>#VALUE!</v>
      </c>
      <c r="EE16" t="e">
        <f>AND(ZORUNLU!U102,"AAAAAH3W/YY=")</f>
        <v>#VALUE!</v>
      </c>
      <c r="EF16" t="e">
        <f>AND(ZORUNLU!V102,"AAAAAH3W/Yc=")</f>
        <v>#VALUE!</v>
      </c>
      <c r="EG16" t="e">
        <f>AND(ZORUNLU!W102,"AAAAAH3W/Yg=")</f>
        <v>#VALUE!</v>
      </c>
      <c r="EH16" t="e">
        <f>AND(ZORUNLU!X102,"AAAAAH3W/Yk=")</f>
        <v>#VALUE!</v>
      </c>
      <c r="EI16">
        <f>IF(ZORUNLU!104:104,"AAAAAH3W/Yo=",0)</f>
        <v>0</v>
      </c>
      <c r="EJ16" t="e">
        <f>AND(ZORUNLU!B96,"AAAAAH3W/Ys=")</f>
        <v>#VALUE!</v>
      </c>
      <c r="EK16" t="e">
        <f>AND(ZORUNLU!C87,"AAAAAH3W/Yw=")</f>
        <v>#VALUE!</v>
      </c>
      <c r="EL16" t="e">
        <f>AND(ZORUNLU!D87,"AAAAAH3W/Y0=")</f>
        <v>#VALUE!</v>
      </c>
      <c r="EM16" t="e">
        <f>AND(ZORUNLU!E87,"AAAAAH3W/Y4=")</f>
        <v>#VALUE!</v>
      </c>
      <c r="EN16" t="e">
        <f>AND(ZORUNLU!F87,"AAAAAH3W/Y8=")</f>
        <v>#VALUE!</v>
      </c>
      <c r="EO16" t="e">
        <f>AND(ZORUNLU!G87,"AAAAAH3W/ZA=")</f>
        <v>#VALUE!</v>
      </c>
      <c r="EP16" t="e">
        <f>AND(ZORUNLU!H94,"AAAAAH3W/ZE=")</f>
        <v>#VALUE!</v>
      </c>
      <c r="EQ16" t="e">
        <f>AND(ZORUNLU!I87,"AAAAAH3W/ZI=")</f>
        <v>#VALUE!</v>
      </c>
      <c r="ER16" t="e">
        <f>AND(ZORUNLU!J89,"AAAAAH3W/ZM=")</f>
        <v>#VALUE!</v>
      </c>
      <c r="ES16" t="e">
        <f>AND(ZORUNLU!K89,"AAAAAH3W/ZQ=")</f>
        <v>#VALUE!</v>
      </c>
      <c r="ET16" t="e">
        <f>AND(ZORUNLU!L89,"AAAAAH3W/ZU=")</f>
        <v>#VALUE!</v>
      </c>
      <c r="EU16" t="e">
        <f>AND(ZORUNLU!M89,"AAAAAH3W/ZY=")</f>
        <v>#VALUE!</v>
      </c>
      <c r="EV16" t="e">
        <f>AND(ZORUNLU!N89,"AAAAAH3W/Zc=")</f>
        <v>#VALUE!</v>
      </c>
      <c r="EW16" t="e">
        <f>AND(ZORUNLU!O97,"AAAAAH3W/Zg=")</f>
        <v>#VALUE!</v>
      </c>
      <c r="EX16" t="e">
        <f>AND(ZORUNLU!P97,"AAAAAH3W/Zk=")</f>
        <v>#VALUE!</v>
      </c>
      <c r="EY16" t="e">
        <f>AND(ZORUNLU!Q94,"AAAAAH3W/Zo=")</f>
        <v>#VALUE!</v>
      </c>
      <c r="EZ16" t="e">
        <f>AND(ZORUNLU!R94,"AAAAAH3W/Zs=")</f>
        <v>#VALUE!</v>
      </c>
      <c r="FA16" t="e">
        <f>AND(ZORUNLU!S103,"AAAAAH3W/Zw=")</f>
        <v>#VALUE!</v>
      </c>
      <c r="FB16" t="e">
        <f>AND(ZORUNLU!T103,"AAAAAH3W/Z0=")</f>
        <v>#VALUE!</v>
      </c>
      <c r="FC16" t="e">
        <f>AND(ZORUNLU!U103,"AAAAAH3W/Z4=")</f>
        <v>#VALUE!</v>
      </c>
      <c r="FD16" t="e">
        <f>AND(ZORUNLU!V103,"AAAAAH3W/Z8=")</f>
        <v>#VALUE!</v>
      </c>
      <c r="FE16" t="e">
        <f>AND(ZORUNLU!W103,"AAAAAH3W/aA=")</f>
        <v>#VALUE!</v>
      </c>
      <c r="FF16" t="e">
        <f>AND(ZORUNLU!X103,"AAAAAH3W/aE=")</f>
        <v>#VALUE!</v>
      </c>
      <c r="FG16">
        <f>IF(ZORUNLU!105:105,"AAAAAH3W/aI=",0)</f>
        <v>0</v>
      </c>
      <c r="FH16" t="e">
        <f>AND(ZORUNLU!B97,"AAAAAH3W/aM=")</f>
        <v>#VALUE!</v>
      </c>
      <c r="FI16" t="e">
        <f>AND(ZORUNLU!C88,"AAAAAH3W/aQ=")</f>
        <v>#VALUE!</v>
      </c>
      <c r="FJ16" t="e">
        <f>AND(ZORUNLU!D88,"AAAAAH3W/aU=")</f>
        <v>#VALUE!</v>
      </c>
      <c r="FK16" t="e">
        <f>AND(ZORUNLU!E88,"AAAAAH3W/aY=")</f>
        <v>#VALUE!</v>
      </c>
      <c r="FL16" t="e">
        <f>AND(ZORUNLU!F88,"AAAAAH3W/ac=")</f>
        <v>#VALUE!</v>
      </c>
      <c r="FM16" t="e">
        <f>AND(ZORUNLU!G88,"AAAAAH3W/ag=")</f>
        <v>#VALUE!</v>
      </c>
      <c r="FN16" t="e">
        <f>AND(ZORUNLU!H95,"AAAAAH3W/ak=")</f>
        <v>#VALUE!</v>
      </c>
      <c r="FO16" t="e">
        <f>AND(ZORUNLU!I88,"AAAAAH3W/ao=")</f>
        <v>#VALUE!</v>
      </c>
      <c r="FP16" t="e">
        <f>AND(ZORUNLU!J90,"AAAAAH3W/as=")</f>
        <v>#VALUE!</v>
      </c>
      <c r="FQ16" t="e">
        <f>AND(ZORUNLU!K90,"AAAAAH3W/aw=")</f>
        <v>#VALUE!</v>
      </c>
      <c r="FR16" t="e">
        <f>AND(ZORUNLU!L90,"AAAAAH3W/a0=")</f>
        <v>#VALUE!</v>
      </c>
      <c r="FS16" t="e">
        <f>AND(ZORUNLU!M90,"AAAAAH3W/a4=")</f>
        <v>#VALUE!</v>
      </c>
      <c r="FT16" t="e">
        <f>AND(ZORUNLU!N90,"AAAAAH3W/a8=")</f>
        <v>#VALUE!</v>
      </c>
      <c r="FU16" t="e">
        <f>AND(ZORUNLU!O98,"AAAAAH3W/bA=")</f>
        <v>#VALUE!</v>
      </c>
      <c r="FV16" t="e">
        <f>AND(ZORUNLU!P98,"AAAAAH3W/bE=")</f>
        <v>#VALUE!</v>
      </c>
      <c r="FW16" t="e">
        <f>AND(ZORUNLU!Q95,"AAAAAH3W/bI=")</f>
        <v>#VALUE!</v>
      </c>
      <c r="FX16" t="e">
        <f>AND(ZORUNLU!R95,"AAAAAH3W/bM=")</f>
        <v>#VALUE!</v>
      </c>
      <c r="FY16" t="e">
        <f>AND(ZORUNLU!S104,"AAAAAH3W/bQ=")</f>
        <v>#VALUE!</v>
      </c>
      <c r="FZ16" t="e">
        <f>AND(ZORUNLU!T104,"AAAAAH3W/bU=")</f>
        <v>#VALUE!</v>
      </c>
      <c r="GA16" t="e">
        <f>AND(ZORUNLU!U104,"AAAAAH3W/bY=")</f>
        <v>#VALUE!</v>
      </c>
      <c r="GB16" t="e">
        <f>AND(ZORUNLU!V104,"AAAAAH3W/bc=")</f>
        <v>#VALUE!</v>
      </c>
      <c r="GC16" t="e">
        <f>AND(ZORUNLU!W104,"AAAAAH3W/bg=")</f>
        <v>#VALUE!</v>
      </c>
      <c r="GD16" t="e">
        <f>AND(ZORUNLU!X104,"AAAAAH3W/bk=")</f>
        <v>#VALUE!</v>
      </c>
      <c r="GE16">
        <f>IF(ZORUNLU!106:106,"AAAAAH3W/bo=",0)</f>
        <v>0</v>
      </c>
      <c r="GF16" t="e">
        <f>AND(ZORUNLU!B98,"AAAAAH3W/bs=")</f>
        <v>#VALUE!</v>
      </c>
      <c r="GG16" t="e">
        <f>AND(ZORUNLU!C89,"AAAAAH3W/bw=")</f>
        <v>#VALUE!</v>
      </c>
      <c r="GH16" t="e">
        <f>AND(ZORUNLU!D89,"AAAAAH3W/b0=")</f>
        <v>#VALUE!</v>
      </c>
      <c r="GI16" t="e">
        <f>AND(ZORUNLU!E89,"AAAAAH3W/b4=")</f>
        <v>#VALUE!</v>
      </c>
      <c r="GJ16" t="e">
        <f>AND(ZORUNLU!F89,"AAAAAH3W/b8=")</f>
        <v>#VALUE!</v>
      </c>
      <c r="GK16" t="e">
        <f>AND(ZORUNLU!G89,"AAAAAH3W/cA=")</f>
        <v>#VALUE!</v>
      </c>
      <c r="GL16" t="e">
        <f>AND(ZORUNLU!H96,"AAAAAH3W/cE=")</f>
        <v>#VALUE!</v>
      </c>
      <c r="GM16" t="e">
        <f>AND(ZORUNLU!I89,"AAAAAH3W/cI=")</f>
        <v>#VALUE!</v>
      </c>
      <c r="GN16" t="e">
        <f>AND(ZORUNLU!J91,"AAAAAH3W/cM=")</f>
        <v>#VALUE!</v>
      </c>
      <c r="GO16" t="e">
        <f>AND(ZORUNLU!K91,"AAAAAH3W/cQ=")</f>
        <v>#VALUE!</v>
      </c>
      <c r="GP16" t="e">
        <f>AND(ZORUNLU!L91,"AAAAAH3W/cU=")</f>
        <v>#VALUE!</v>
      </c>
      <c r="GQ16" t="e">
        <f>AND(ZORUNLU!M91,"AAAAAH3W/cY=")</f>
        <v>#VALUE!</v>
      </c>
      <c r="GR16" t="e">
        <f>AND(ZORUNLU!N91,"AAAAAH3W/cc=")</f>
        <v>#VALUE!</v>
      </c>
      <c r="GS16" t="e">
        <f>AND(ZORUNLU!O99,"AAAAAH3W/cg=")</f>
        <v>#VALUE!</v>
      </c>
      <c r="GT16" t="e">
        <f>AND(ZORUNLU!P99,"AAAAAH3W/ck=")</f>
        <v>#VALUE!</v>
      </c>
      <c r="GU16" t="e">
        <f>AND(ZORUNLU!Q96,"AAAAAH3W/co=")</f>
        <v>#VALUE!</v>
      </c>
      <c r="GV16" t="e">
        <f>AND(ZORUNLU!R96,"AAAAAH3W/cs=")</f>
        <v>#VALUE!</v>
      </c>
      <c r="GW16" t="e">
        <f>AND(ZORUNLU!S105,"AAAAAH3W/cw=")</f>
        <v>#VALUE!</v>
      </c>
      <c r="GX16" t="e">
        <f>AND(ZORUNLU!T105,"AAAAAH3W/c0=")</f>
        <v>#VALUE!</v>
      </c>
      <c r="GY16" t="e">
        <f>AND(ZORUNLU!U105,"AAAAAH3W/c4=")</f>
        <v>#VALUE!</v>
      </c>
      <c r="GZ16" t="e">
        <f>AND(ZORUNLU!V105,"AAAAAH3W/c8=")</f>
        <v>#VALUE!</v>
      </c>
      <c r="HA16" t="e">
        <f>AND(ZORUNLU!W105,"AAAAAH3W/dA=")</f>
        <v>#VALUE!</v>
      </c>
      <c r="HB16" t="e">
        <f>AND(ZORUNLU!X105,"AAAAAH3W/dE=")</f>
        <v>#VALUE!</v>
      </c>
      <c r="HC16">
        <f>IF(ZORUNLU!107:107,"AAAAAH3W/dI=",0)</f>
        <v>0</v>
      </c>
      <c r="HD16" t="e">
        <f>AND(ZORUNLU!B99,"AAAAAH3W/dM=")</f>
        <v>#VALUE!</v>
      </c>
      <c r="HE16" t="e">
        <f>AND(ZORUNLU!C90,"AAAAAH3W/dQ=")</f>
        <v>#VALUE!</v>
      </c>
      <c r="HF16" t="e">
        <f>AND(ZORUNLU!D90,"AAAAAH3W/dU=")</f>
        <v>#VALUE!</v>
      </c>
      <c r="HG16" t="e">
        <f>AND(ZORUNLU!E90,"AAAAAH3W/dY=")</f>
        <v>#VALUE!</v>
      </c>
      <c r="HH16" t="e">
        <f>AND(ZORUNLU!F90,"AAAAAH3W/dc=")</f>
        <v>#VALUE!</v>
      </c>
      <c r="HI16" t="e">
        <f>AND(ZORUNLU!G90,"AAAAAH3W/dg=")</f>
        <v>#VALUE!</v>
      </c>
      <c r="HJ16" t="e">
        <f>AND(ZORUNLU!H97,"AAAAAH3W/dk=")</f>
        <v>#VALUE!</v>
      </c>
      <c r="HK16" t="e">
        <f>AND(ZORUNLU!I90,"AAAAAH3W/do=")</f>
        <v>#VALUE!</v>
      </c>
      <c r="HL16" t="e">
        <f>AND(ZORUNLU!J92,"AAAAAH3W/ds=")</f>
        <v>#VALUE!</v>
      </c>
      <c r="HM16" t="e">
        <f>AND(ZORUNLU!K92,"AAAAAH3W/dw=")</f>
        <v>#VALUE!</v>
      </c>
      <c r="HN16" t="e">
        <f>AND(ZORUNLU!L92,"AAAAAH3W/d0=")</f>
        <v>#VALUE!</v>
      </c>
      <c r="HO16" t="e">
        <f>AND(ZORUNLU!M92,"AAAAAH3W/d4=")</f>
        <v>#VALUE!</v>
      </c>
      <c r="HP16" t="e">
        <f>AND(ZORUNLU!N92,"AAAAAH3W/d8=")</f>
        <v>#VALUE!</v>
      </c>
      <c r="HQ16" t="e">
        <f>AND(ZORUNLU!O100,"AAAAAH3W/eA=")</f>
        <v>#VALUE!</v>
      </c>
      <c r="HR16" t="e">
        <f>AND(ZORUNLU!P100,"AAAAAH3W/eE=")</f>
        <v>#VALUE!</v>
      </c>
      <c r="HS16" t="e">
        <f>AND(ZORUNLU!Q97,"AAAAAH3W/eI=")</f>
        <v>#VALUE!</v>
      </c>
      <c r="HT16" t="e">
        <f>AND(ZORUNLU!R97,"AAAAAH3W/eM=")</f>
        <v>#VALUE!</v>
      </c>
      <c r="HU16" t="e">
        <f>AND(ZORUNLU!S106,"AAAAAH3W/eQ=")</f>
        <v>#VALUE!</v>
      </c>
      <c r="HV16" t="e">
        <f>AND(ZORUNLU!T106,"AAAAAH3W/eU=")</f>
        <v>#VALUE!</v>
      </c>
      <c r="HW16" t="e">
        <f>AND(ZORUNLU!U106,"AAAAAH3W/eY=")</f>
        <v>#VALUE!</v>
      </c>
      <c r="HX16" t="e">
        <f>AND(ZORUNLU!V106,"AAAAAH3W/ec=")</f>
        <v>#VALUE!</v>
      </c>
      <c r="HY16" t="e">
        <f>AND(ZORUNLU!W106,"AAAAAH3W/eg=")</f>
        <v>#VALUE!</v>
      </c>
      <c r="HZ16" t="e">
        <f>AND(ZORUNLU!X106,"AAAAAH3W/ek=")</f>
        <v>#VALUE!</v>
      </c>
      <c r="IA16">
        <f>IF(ZORUNLU!108:108,"AAAAAH3W/eo=",0)</f>
        <v>0</v>
      </c>
      <c r="IB16" t="e">
        <f>AND(ZORUNLU!B100,"AAAAAH3W/es=")</f>
        <v>#VALUE!</v>
      </c>
      <c r="IC16" t="e">
        <f>AND(ZORUNLU!C91,"AAAAAH3W/ew=")</f>
        <v>#VALUE!</v>
      </c>
      <c r="ID16" t="e">
        <f>AND(ZORUNLU!D91,"AAAAAH3W/e0=")</f>
        <v>#VALUE!</v>
      </c>
      <c r="IE16" t="e">
        <f>AND(ZORUNLU!E91,"AAAAAH3W/e4=")</f>
        <v>#VALUE!</v>
      </c>
      <c r="IF16" t="e">
        <f>AND(ZORUNLU!F91,"AAAAAH3W/e8=")</f>
        <v>#VALUE!</v>
      </c>
      <c r="IG16" t="e">
        <f>AND(ZORUNLU!G91,"AAAAAH3W/fA=")</f>
        <v>#VALUE!</v>
      </c>
      <c r="IH16" t="e">
        <f>AND(ZORUNLU!H98,"AAAAAH3W/fE=")</f>
        <v>#VALUE!</v>
      </c>
      <c r="II16" t="e">
        <f>AND(ZORUNLU!I91,"AAAAAH3W/fI=")</f>
        <v>#VALUE!</v>
      </c>
      <c r="IJ16" t="e">
        <f>AND(ZORUNLU!J93,"AAAAAH3W/fM=")</f>
        <v>#VALUE!</v>
      </c>
      <c r="IK16" t="e">
        <f>AND(ZORUNLU!K93,"AAAAAH3W/fQ=")</f>
        <v>#VALUE!</v>
      </c>
      <c r="IL16" t="e">
        <f>AND(ZORUNLU!L93,"AAAAAH3W/fU=")</f>
        <v>#VALUE!</v>
      </c>
      <c r="IM16" t="e">
        <f>AND(ZORUNLU!M93,"AAAAAH3W/fY=")</f>
        <v>#VALUE!</v>
      </c>
      <c r="IN16" t="e">
        <f>AND(ZORUNLU!N93,"AAAAAH3W/fc=")</f>
        <v>#VALUE!</v>
      </c>
      <c r="IO16" t="e">
        <f>AND(ZORUNLU!O101,"AAAAAH3W/fg=")</f>
        <v>#VALUE!</v>
      </c>
      <c r="IP16" t="e">
        <f>AND(ZORUNLU!P101,"AAAAAH3W/fk=")</f>
        <v>#VALUE!</v>
      </c>
      <c r="IQ16" t="e">
        <f>AND(ZORUNLU!Q98,"AAAAAH3W/fo=")</f>
        <v>#VALUE!</v>
      </c>
      <c r="IR16" t="e">
        <f>AND(ZORUNLU!R98,"AAAAAH3W/fs=")</f>
        <v>#VALUE!</v>
      </c>
      <c r="IS16" t="e">
        <f>AND(ZORUNLU!S107,"AAAAAH3W/fw=")</f>
        <v>#VALUE!</v>
      </c>
      <c r="IT16" t="e">
        <f>AND(ZORUNLU!T107,"AAAAAH3W/f0=")</f>
        <v>#VALUE!</v>
      </c>
      <c r="IU16" t="e">
        <f>AND(ZORUNLU!U107,"AAAAAH3W/f4=")</f>
        <v>#VALUE!</v>
      </c>
      <c r="IV16" t="e">
        <f>AND(ZORUNLU!V107,"AAAAAH3W/f8=")</f>
        <v>#VALUE!</v>
      </c>
    </row>
    <row r="17" spans="1:243" x14ac:dyDescent="0.25">
      <c r="A17" t="e">
        <f>AND(ZORUNLU!W107,"AAAAAG7//wA=")</f>
        <v>#VALUE!</v>
      </c>
      <c r="B17" t="e">
        <f>AND(ZORUNLU!X107,"AAAAAG7//wE=")</f>
        <v>#VALUE!</v>
      </c>
      <c r="C17">
        <f>IF(ZORUNLU!109:109,"AAAAAG7//wI=",0)</f>
        <v>0</v>
      </c>
      <c r="D17" t="e">
        <f>AND(ZORUNLU!B101,"AAAAAG7//wM=")</f>
        <v>#VALUE!</v>
      </c>
      <c r="E17" t="e">
        <f>AND(ZORUNLU!C92,"AAAAAG7//wQ=")</f>
        <v>#VALUE!</v>
      </c>
      <c r="F17" t="e">
        <f>AND(ZORUNLU!D92,"AAAAAG7//wU=")</f>
        <v>#VALUE!</v>
      </c>
      <c r="G17" t="e">
        <f>AND(ZORUNLU!E92,"AAAAAG7//wY=")</f>
        <v>#VALUE!</v>
      </c>
      <c r="H17" t="e">
        <f>AND(ZORUNLU!F92,"AAAAAG7//wc=")</f>
        <v>#VALUE!</v>
      </c>
      <c r="I17" t="e">
        <f>AND(ZORUNLU!G92,"AAAAAG7//wg=")</f>
        <v>#VALUE!</v>
      </c>
      <c r="J17" t="e">
        <f>AND(ZORUNLU!H99,"AAAAAG7//wk=")</f>
        <v>#VALUE!</v>
      </c>
      <c r="K17" t="e">
        <f>AND(ZORUNLU!I92,"AAAAAG7//wo=")</f>
        <v>#VALUE!</v>
      </c>
      <c r="L17" t="e">
        <f>AND(ZORUNLU!J94,"AAAAAG7//ws=")</f>
        <v>#VALUE!</v>
      </c>
      <c r="M17" t="e">
        <f>AND(ZORUNLU!K94,"AAAAAG7//ww=")</f>
        <v>#VALUE!</v>
      </c>
      <c r="N17" t="e">
        <f>AND(ZORUNLU!L94,"AAAAAG7//w0=")</f>
        <v>#VALUE!</v>
      </c>
      <c r="O17" t="e">
        <f>AND(ZORUNLU!M94,"AAAAAG7//w4=")</f>
        <v>#VALUE!</v>
      </c>
      <c r="P17" t="e">
        <f>AND(ZORUNLU!N94,"AAAAAG7//w8=")</f>
        <v>#VALUE!</v>
      </c>
      <c r="Q17" t="e">
        <f>AND(ZORUNLU!O102,"AAAAAG7//xA=")</f>
        <v>#VALUE!</v>
      </c>
      <c r="R17" t="e">
        <f>AND(ZORUNLU!P102,"AAAAAG7//xE=")</f>
        <v>#VALUE!</v>
      </c>
      <c r="S17" t="e">
        <f>AND(ZORUNLU!Q99,"AAAAAG7//xI=")</f>
        <v>#VALUE!</v>
      </c>
      <c r="T17" t="e">
        <f>AND(ZORUNLU!R99,"AAAAAG7//xM=")</f>
        <v>#VALUE!</v>
      </c>
      <c r="U17" t="e">
        <f>AND(ZORUNLU!S108,"AAAAAG7//xQ=")</f>
        <v>#VALUE!</v>
      </c>
      <c r="V17" t="e">
        <f>AND(ZORUNLU!T108,"AAAAAG7//xU=")</f>
        <v>#VALUE!</v>
      </c>
      <c r="W17" t="e">
        <f>AND(ZORUNLU!U108,"AAAAAG7//xY=")</f>
        <v>#VALUE!</v>
      </c>
      <c r="X17" t="e">
        <f>AND(ZORUNLU!V108,"AAAAAG7//xc=")</f>
        <v>#VALUE!</v>
      </c>
      <c r="Y17" t="e">
        <f>AND(ZORUNLU!W108,"AAAAAG7//xg=")</f>
        <v>#VALUE!</v>
      </c>
      <c r="Z17" t="e">
        <f>AND(ZORUNLU!X108,"AAAAAG7//xk=")</f>
        <v>#VALUE!</v>
      </c>
      <c r="AA17">
        <f>IF(ZORUNLU!110:110,"AAAAAG7//xo=",0)</f>
        <v>0</v>
      </c>
      <c r="AB17" t="e">
        <f>AND(ZORUNLU!B102,"AAAAAG7//xs=")</f>
        <v>#VALUE!</v>
      </c>
      <c r="AC17" t="e">
        <f>AND(ZORUNLU!C93,"AAAAAG7//xw=")</f>
        <v>#VALUE!</v>
      </c>
      <c r="AD17" t="e">
        <f>AND(ZORUNLU!D93,"AAAAAG7//x0=")</f>
        <v>#VALUE!</v>
      </c>
      <c r="AE17" t="e">
        <f>AND(ZORUNLU!E93,"AAAAAG7//x4=")</f>
        <v>#VALUE!</v>
      </c>
      <c r="AF17" t="e">
        <f>AND(ZORUNLU!F93,"AAAAAG7//x8=")</f>
        <v>#VALUE!</v>
      </c>
      <c r="AG17" t="e">
        <f>AND(ZORUNLU!G93,"AAAAAG7//yA=")</f>
        <v>#VALUE!</v>
      </c>
      <c r="AH17" t="e">
        <f>AND(ZORUNLU!H100,"AAAAAG7//yE=")</f>
        <v>#VALUE!</v>
      </c>
      <c r="AI17" t="e">
        <f>AND(ZORUNLU!I93,"AAAAAG7//yI=")</f>
        <v>#VALUE!</v>
      </c>
      <c r="AJ17" t="e">
        <f>AND(ZORUNLU!J95,"AAAAAG7//yM=")</f>
        <v>#VALUE!</v>
      </c>
      <c r="AK17" t="e">
        <f>AND(ZORUNLU!K95,"AAAAAG7//yQ=")</f>
        <v>#VALUE!</v>
      </c>
      <c r="AL17" t="e">
        <f>AND(ZORUNLU!L95,"AAAAAG7//yU=")</f>
        <v>#VALUE!</v>
      </c>
      <c r="AM17" t="e">
        <f>AND(ZORUNLU!M95,"AAAAAG7//yY=")</f>
        <v>#VALUE!</v>
      </c>
      <c r="AN17" t="e">
        <f>AND(ZORUNLU!N95,"AAAAAG7//yc=")</f>
        <v>#VALUE!</v>
      </c>
      <c r="AO17" t="e">
        <f>AND(ZORUNLU!O103,"AAAAAG7//yg=")</f>
        <v>#VALUE!</v>
      </c>
      <c r="AP17" t="e">
        <f>AND(ZORUNLU!P103,"AAAAAG7//yk=")</f>
        <v>#VALUE!</v>
      </c>
      <c r="AQ17" t="e">
        <f>AND(ZORUNLU!Q100,"AAAAAG7//yo=")</f>
        <v>#VALUE!</v>
      </c>
      <c r="AR17" t="e">
        <f>AND(ZORUNLU!R100,"AAAAAG7//ys=")</f>
        <v>#VALUE!</v>
      </c>
      <c r="AS17" t="e">
        <f>AND(ZORUNLU!S109,"AAAAAG7//yw=")</f>
        <v>#VALUE!</v>
      </c>
      <c r="AT17" t="e">
        <f>AND(ZORUNLU!T109,"AAAAAG7//y0=")</f>
        <v>#VALUE!</v>
      </c>
      <c r="AU17" t="e">
        <f>AND(ZORUNLU!U109,"AAAAAG7//y4=")</f>
        <v>#VALUE!</v>
      </c>
      <c r="AV17" t="e">
        <f>AND(ZORUNLU!V109,"AAAAAG7//y8=")</f>
        <v>#VALUE!</v>
      </c>
      <c r="AW17" t="e">
        <f>AND(ZORUNLU!W109,"AAAAAG7//zA=")</f>
        <v>#VALUE!</v>
      </c>
      <c r="AX17" t="e">
        <f>AND(ZORUNLU!X109,"AAAAAG7//zE=")</f>
        <v>#VALUE!</v>
      </c>
      <c r="AY17">
        <f>IF(ZORUNLU!111:111,"AAAAAG7//zI=",0)</f>
        <v>0</v>
      </c>
      <c r="AZ17" t="e">
        <f>AND(ZORUNLU!B103,"AAAAAG7//zM=")</f>
        <v>#VALUE!</v>
      </c>
      <c r="BA17" t="e">
        <f>AND(ZORUNLU!C94,"AAAAAG7//zQ=")</f>
        <v>#VALUE!</v>
      </c>
      <c r="BB17" t="e">
        <f>AND(ZORUNLU!D94,"AAAAAG7//zU=")</f>
        <v>#VALUE!</v>
      </c>
      <c r="BC17" t="e">
        <f>AND(ZORUNLU!E94,"AAAAAG7//zY=")</f>
        <v>#VALUE!</v>
      </c>
      <c r="BD17" t="e">
        <f>AND(ZORUNLU!F94,"AAAAAG7//zc=")</f>
        <v>#VALUE!</v>
      </c>
      <c r="BE17" t="e">
        <f>AND(ZORUNLU!G94,"AAAAAG7//zg=")</f>
        <v>#VALUE!</v>
      </c>
      <c r="BF17" t="e">
        <f>AND(ZORUNLU!H101,"AAAAAG7//zk=")</f>
        <v>#VALUE!</v>
      </c>
      <c r="BG17" t="e">
        <f>AND(ZORUNLU!I94,"AAAAAG7//zo=")</f>
        <v>#VALUE!</v>
      </c>
      <c r="BH17" t="e">
        <f>AND(ZORUNLU!J96,"AAAAAG7//zs=")</f>
        <v>#VALUE!</v>
      </c>
      <c r="BI17" t="e">
        <f>AND(ZORUNLU!K96,"AAAAAG7//zw=")</f>
        <v>#VALUE!</v>
      </c>
      <c r="BJ17" t="e">
        <f>AND(ZORUNLU!L96,"AAAAAG7//z0=")</f>
        <v>#VALUE!</v>
      </c>
      <c r="BK17" t="e">
        <f>AND(ZORUNLU!M96,"AAAAAG7//z4=")</f>
        <v>#VALUE!</v>
      </c>
      <c r="BL17" t="e">
        <f>AND(ZORUNLU!N96,"AAAAAG7//z8=")</f>
        <v>#VALUE!</v>
      </c>
      <c r="BM17" t="e">
        <f>AND(ZORUNLU!O104,"AAAAAG7//0A=")</f>
        <v>#VALUE!</v>
      </c>
      <c r="BN17" t="e">
        <f>AND(ZORUNLU!P104,"AAAAAG7//0E=")</f>
        <v>#VALUE!</v>
      </c>
      <c r="BO17" t="e">
        <f>AND(ZORUNLU!Q101,"AAAAAG7//0I=")</f>
        <v>#VALUE!</v>
      </c>
      <c r="BP17" t="e">
        <f>AND(ZORUNLU!R101,"AAAAAG7//0M=")</f>
        <v>#VALUE!</v>
      </c>
      <c r="BQ17" t="e">
        <f>AND(ZORUNLU!S110,"AAAAAG7//0Q=")</f>
        <v>#VALUE!</v>
      </c>
      <c r="BR17" t="e">
        <f>AND(ZORUNLU!T110,"AAAAAG7//0U=")</f>
        <v>#VALUE!</v>
      </c>
      <c r="BS17" t="e">
        <f>AND(ZORUNLU!U110,"AAAAAG7//0Y=")</f>
        <v>#VALUE!</v>
      </c>
      <c r="BT17" t="e">
        <f>AND(ZORUNLU!V110,"AAAAAG7//0c=")</f>
        <v>#VALUE!</v>
      </c>
      <c r="BU17" t="e">
        <f>AND(ZORUNLU!W110,"AAAAAG7//0g=")</f>
        <v>#VALUE!</v>
      </c>
      <c r="BV17" t="e">
        <f>AND(ZORUNLU!X110,"AAAAAG7//0k=")</f>
        <v>#VALUE!</v>
      </c>
      <c r="BW17">
        <f>IF(ZORUNLU!112:112,"AAAAAG7//0o=",0)</f>
        <v>0</v>
      </c>
      <c r="BX17" t="e">
        <f>AND(ZORUNLU!B104,"AAAAAG7//0s=")</f>
        <v>#VALUE!</v>
      </c>
      <c r="BY17" t="e">
        <f>AND(ZORUNLU!C95,"AAAAAG7//0w=")</f>
        <v>#VALUE!</v>
      </c>
      <c r="BZ17" t="e">
        <f>AND(ZORUNLU!D95,"AAAAAG7//00=")</f>
        <v>#VALUE!</v>
      </c>
      <c r="CA17" t="e">
        <f>AND(ZORUNLU!E95,"AAAAAG7//04=")</f>
        <v>#VALUE!</v>
      </c>
      <c r="CB17" t="e">
        <f>AND(ZORUNLU!F95,"AAAAAG7//08=")</f>
        <v>#VALUE!</v>
      </c>
      <c r="CC17" t="e">
        <f>AND(ZORUNLU!G95,"AAAAAG7//1A=")</f>
        <v>#VALUE!</v>
      </c>
      <c r="CD17" t="e">
        <f>AND(ZORUNLU!H102,"AAAAAG7//1E=")</f>
        <v>#VALUE!</v>
      </c>
      <c r="CE17" t="e">
        <f>AND(ZORUNLU!I95,"AAAAAG7//1I=")</f>
        <v>#VALUE!</v>
      </c>
      <c r="CF17" t="e">
        <f>AND(ZORUNLU!J97,"AAAAAG7//1M=")</f>
        <v>#VALUE!</v>
      </c>
      <c r="CG17" t="e">
        <f>AND(ZORUNLU!K97,"AAAAAG7//1Q=")</f>
        <v>#VALUE!</v>
      </c>
      <c r="CH17" t="e">
        <f>AND(ZORUNLU!L97,"AAAAAG7//1U=")</f>
        <v>#VALUE!</v>
      </c>
      <c r="CI17" t="e">
        <f>AND(ZORUNLU!M97,"AAAAAG7//1Y=")</f>
        <v>#VALUE!</v>
      </c>
      <c r="CJ17" t="e">
        <f>AND(ZORUNLU!N97,"AAAAAG7//1c=")</f>
        <v>#VALUE!</v>
      </c>
      <c r="CK17" t="e">
        <f>AND(ZORUNLU!O105,"AAAAAG7//1g=")</f>
        <v>#VALUE!</v>
      </c>
      <c r="CL17" t="e">
        <f>AND(ZORUNLU!P105,"AAAAAG7//1k=")</f>
        <v>#VALUE!</v>
      </c>
      <c r="CM17" t="e">
        <f>AND(ZORUNLU!Q102,"AAAAAG7//1o=")</f>
        <v>#VALUE!</v>
      </c>
      <c r="CN17" t="e">
        <f>AND(ZORUNLU!R102,"AAAAAG7//1s=")</f>
        <v>#VALUE!</v>
      </c>
      <c r="CO17" t="e">
        <f>AND(ZORUNLU!S111,"AAAAAG7//1w=")</f>
        <v>#VALUE!</v>
      </c>
      <c r="CP17" t="e">
        <f>AND(ZORUNLU!T111,"AAAAAG7//10=")</f>
        <v>#VALUE!</v>
      </c>
      <c r="CQ17" t="e">
        <f>AND(ZORUNLU!U111,"AAAAAG7//14=")</f>
        <v>#VALUE!</v>
      </c>
      <c r="CR17" t="e">
        <f>AND(ZORUNLU!V111,"AAAAAG7//18=")</f>
        <v>#VALUE!</v>
      </c>
      <c r="CS17" t="e">
        <f>AND(ZORUNLU!W111,"AAAAAG7//2A=")</f>
        <v>#VALUE!</v>
      </c>
      <c r="CT17" t="e">
        <f>AND(ZORUNLU!X111,"AAAAAG7//2E=")</f>
        <v>#VALUE!</v>
      </c>
      <c r="CU17">
        <f>IF(ZORUNLU!113:113,"AAAAAG7//2I=",0)</f>
        <v>0</v>
      </c>
      <c r="CV17" t="e">
        <f>AND(ZORUNLU!B105,"AAAAAG7//2M=")</f>
        <v>#VALUE!</v>
      </c>
      <c r="CW17" t="e">
        <f>AND(ZORUNLU!C96,"AAAAAG7//2Q=")</f>
        <v>#VALUE!</v>
      </c>
      <c r="CX17" t="e">
        <f>AND(ZORUNLU!D96,"AAAAAG7//2U=")</f>
        <v>#VALUE!</v>
      </c>
      <c r="CY17" t="e">
        <f>AND(ZORUNLU!E96,"AAAAAG7//2Y=")</f>
        <v>#VALUE!</v>
      </c>
      <c r="CZ17" t="e">
        <f>AND(ZORUNLU!F96,"AAAAAG7//2c=")</f>
        <v>#VALUE!</v>
      </c>
      <c r="DA17" t="e">
        <f>AND(ZORUNLU!G96,"AAAAAG7//2g=")</f>
        <v>#VALUE!</v>
      </c>
      <c r="DB17" t="e">
        <f>AND(ZORUNLU!H103,"AAAAAG7//2k=")</f>
        <v>#VALUE!</v>
      </c>
      <c r="DC17" t="e">
        <f>AND(ZORUNLU!I96,"AAAAAG7//2o=")</f>
        <v>#VALUE!</v>
      </c>
      <c r="DD17" t="e">
        <f>AND(ZORUNLU!J98,"AAAAAG7//2s=")</f>
        <v>#VALUE!</v>
      </c>
      <c r="DE17" t="e">
        <f>AND(ZORUNLU!K98,"AAAAAG7//2w=")</f>
        <v>#VALUE!</v>
      </c>
      <c r="DF17" t="e">
        <f>AND(ZORUNLU!L98,"AAAAAG7//20=")</f>
        <v>#VALUE!</v>
      </c>
      <c r="DG17" t="e">
        <f>AND(ZORUNLU!M98,"AAAAAG7//24=")</f>
        <v>#VALUE!</v>
      </c>
      <c r="DH17" t="e">
        <f>AND(ZORUNLU!N98,"AAAAAG7//28=")</f>
        <v>#VALUE!</v>
      </c>
      <c r="DI17" t="e">
        <f>AND(ZORUNLU!O106,"AAAAAG7//3A=")</f>
        <v>#VALUE!</v>
      </c>
      <c r="DJ17" t="e">
        <f>AND(ZORUNLU!P106,"AAAAAG7//3E=")</f>
        <v>#VALUE!</v>
      </c>
      <c r="DK17" t="e">
        <f>AND(ZORUNLU!Q103,"AAAAAG7//3I=")</f>
        <v>#VALUE!</v>
      </c>
      <c r="DL17" t="e">
        <f>AND(ZORUNLU!R103,"AAAAAG7//3M=")</f>
        <v>#VALUE!</v>
      </c>
      <c r="DM17" t="e">
        <f>AND(ZORUNLU!S112,"AAAAAG7//3Q=")</f>
        <v>#VALUE!</v>
      </c>
      <c r="DN17" t="e">
        <f>AND(ZORUNLU!T112,"AAAAAG7//3U=")</f>
        <v>#VALUE!</v>
      </c>
      <c r="DO17" t="e">
        <f>AND(ZORUNLU!U112,"AAAAAG7//3Y=")</f>
        <v>#VALUE!</v>
      </c>
      <c r="DP17" t="e">
        <f>AND(ZORUNLU!V112,"AAAAAG7//3c=")</f>
        <v>#VALUE!</v>
      </c>
      <c r="DQ17" t="e">
        <f>AND(ZORUNLU!W112,"AAAAAG7//3g=")</f>
        <v>#VALUE!</v>
      </c>
      <c r="DR17" t="e">
        <f>AND(ZORUNLU!X112,"AAAAAG7//3k=")</f>
        <v>#VALUE!</v>
      </c>
      <c r="DS17">
        <f>IF(ZORUNLU!114:114,"AAAAAG7//3o=",0)</f>
        <v>0</v>
      </c>
      <c r="DT17" t="e">
        <f>AND(ZORUNLU!B106,"AAAAAG7//3s=")</f>
        <v>#VALUE!</v>
      </c>
      <c r="DU17" t="e">
        <f>AND(ZORUNLU!C97,"AAAAAG7//3w=")</f>
        <v>#VALUE!</v>
      </c>
      <c r="DV17" t="e">
        <f>AND(ZORUNLU!D97,"AAAAAG7//30=")</f>
        <v>#VALUE!</v>
      </c>
      <c r="DW17" t="e">
        <f>AND(ZORUNLU!E97,"AAAAAG7//34=")</f>
        <v>#VALUE!</v>
      </c>
      <c r="DX17" t="e">
        <f>AND(ZORUNLU!F97,"AAAAAG7//38=")</f>
        <v>#VALUE!</v>
      </c>
      <c r="DY17" t="e">
        <f>AND(ZORUNLU!G97,"AAAAAG7//4A=")</f>
        <v>#VALUE!</v>
      </c>
      <c r="DZ17" t="e">
        <f>AND(ZORUNLU!H104,"AAAAAG7//4E=")</f>
        <v>#VALUE!</v>
      </c>
      <c r="EA17" t="e">
        <f>AND(ZORUNLU!I97,"AAAAAG7//4I=")</f>
        <v>#VALUE!</v>
      </c>
      <c r="EB17" t="e">
        <f>AND(ZORUNLU!J99,"AAAAAG7//4M=")</f>
        <v>#VALUE!</v>
      </c>
      <c r="EC17" t="e">
        <f>AND(ZORUNLU!K99,"AAAAAG7//4Q=")</f>
        <v>#VALUE!</v>
      </c>
      <c r="ED17" t="e">
        <f>AND(ZORUNLU!L99,"AAAAAG7//4U=")</f>
        <v>#VALUE!</v>
      </c>
      <c r="EE17" t="e">
        <f>AND(ZORUNLU!M99,"AAAAAG7//4Y=")</f>
        <v>#VALUE!</v>
      </c>
      <c r="EF17" t="e">
        <f>AND(ZORUNLU!N99,"AAAAAG7//4c=")</f>
        <v>#VALUE!</v>
      </c>
      <c r="EG17" t="e">
        <f>AND(ZORUNLU!O107,"AAAAAG7//4g=")</f>
        <v>#VALUE!</v>
      </c>
      <c r="EH17" t="e">
        <f>AND(ZORUNLU!P107,"AAAAAG7//4k=")</f>
        <v>#VALUE!</v>
      </c>
      <c r="EI17" t="e">
        <f>AND(ZORUNLU!Q104,"AAAAAG7//4o=")</f>
        <v>#VALUE!</v>
      </c>
      <c r="EJ17" t="e">
        <f>AND(ZORUNLU!R104,"AAAAAG7//4s=")</f>
        <v>#VALUE!</v>
      </c>
      <c r="EK17" t="e">
        <f>AND(ZORUNLU!S113,"AAAAAG7//4w=")</f>
        <v>#VALUE!</v>
      </c>
      <c r="EL17" t="e">
        <f>AND(ZORUNLU!T113,"AAAAAG7//40=")</f>
        <v>#VALUE!</v>
      </c>
      <c r="EM17" t="e">
        <f>AND(ZORUNLU!U113,"AAAAAG7//44=")</f>
        <v>#VALUE!</v>
      </c>
      <c r="EN17" t="e">
        <f>AND(ZORUNLU!V113,"AAAAAG7//48=")</f>
        <v>#VALUE!</v>
      </c>
      <c r="EO17" t="e">
        <f>AND(ZORUNLU!W113,"AAAAAG7//5A=")</f>
        <v>#VALUE!</v>
      </c>
      <c r="EP17" t="e">
        <f>AND(ZORUNLU!X113,"AAAAAG7//5E=")</f>
        <v>#VALUE!</v>
      </c>
      <c r="EQ17">
        <f>IF(ZORUNLU!115:115,"AAAAAG7//5I=",0)</f>
        <v>0</v>
      </c>
      <c r="ER17" t="e">
        <f>AND(ZORUNLU!B107,"AAAAAG7//5M=")</f>
        <v>#VALUE!</v>
      </c>
      <c r="ES17" t="e">
        <f>AND(ZORUNLU!C98,"AAAAAG7//5Q=")</f>
        <v>#VALUE!</v>
      </c>
      <c r="ET17" t="e">
        <f>AND(ZORUNLU!D98,"AAAAAG7//5U=")</f>
        <v>#VALUE!</v>
      </c>
      <c r="EU17" t="e">
        <f>AND(ZORUNLU!E98,"AAAAAG7//5Y=")</f>
        <v>#VALUE!</v>
      </c>
      <c r="EV17" t="e">
        <f>AND(ZORUNLU!F98,"AAAAAG7//5c=")</f>
        <v>#VALUE!</v>
      </c>
      <c r="EW17" t="e">
        <f>AND(ZORUNLU!G98,"AAAAAG7//5g=")</f>
        <v>#VALUE!</v>
      </c>
      <c r="EX17" t="e">
        <f>AND(ZORUNLU!H105,"AAAAAG7//5k=")</f>
        <v>#VALUE!</v>
      </c>
      <c r="EY17" t="e">
        <f>AND(ZORUNLU!I98,"AAAAAG7//5o=")</f>
        <v>#VALUE!</v>
      </c>
      <c r="EZ17" t="e">
        <f>AND(ZORUNLU!J100,"AAAAAG7//5s=")</f>
        <v>#VALUE!</v>
      </c>
      <c r="FA17" t="e">
        <f>AND(ZORUNLU!K100,"AAAAAG7//5w=")</f>
        <v>#VALUE!</v>
      </c>
      <c r="FB17" t="e">
        <f>AND(ZORUNLU!L100,"AAAAAG7//50=")</f>
        <v>#VALUE!</v>
      </c>
      <c r="FC17" t="e">
        <f>AND(ZORUNLU!M100,"AAAAAG7//54=")</f>
        <v>#VALUE!</v>
      </c>
      <c r="FD17" t="e">
        <f>AND(ZORUNLU!N100,"AAAAAG7//58=")</f>
        <v>#VALUE!</v>
      </c>
      <c r="FE17" t="e">
        <f>AND(ZORUNLU!O108,"AAAAAG7//6A=")</f>
        <v>#VALUE!</v>
      </c>
      <c r="FF17" t="e">
        <f>AND(ZORUNLU!P108,"AAAAAG7//6E=")</f>
        <v>#VALUE!</v>
      </c>
      <c r="FG17" t="e">
        <f>AND(ZORUNLU!Q105,"AAAAAG7//6I=")</f>
        <v>#VALUE!</v>
      </c>
      <c r="FH17" t="e">
        <f>AND(ZORUNLU!R105,"AAAAAG7//6M=")</f>
        <v>#VALUE!</v>
      </c>
      <c r="FI17" t="e">
        <f>AND(ZORUNLU!S114,"AAAAAG7//6Q=")</f>
        <v>#VALUE!</v>
      </c>
      <c r="FJ17" t="e">
        <f>AND(ZORUNLU!T114,"AAAAAG7//6U=")</f>
        <v>#VALUE!</v>
      </c>
      <c r="FK17" t="e">
        <f>AND(ZORUNLU!U114,"AAAAAG7//6Y=")</f>
        <v>#VALUE!</v>
      </c>
      <c r="FL17" t="e">
        <f>AND(ZORUNLU!V114,"AAAAAG7//6c=")</f>
        <v>#VALUE!</v>
      </c>
      <c r="FM17" t="e">
        <f>AND(ZORUNLU!W114,"AAAAAG7//6g=")</f>
        <v>#VALUE!</v>
      </c>
      <c r="FN17" t="e">
        <f>AND(ZORUNLU!X114,"AAAAAG7//6k=")</f>
        <v>#VALUE!</v>
      </c>
      <c r="FO17">
        <f>IF(ZORUNLU!116:116,"AAAAAG7//6o=",0)</f>
        <v>0</v>
      </c>
      <c r="FP17" t="e">
        <f>AND(ZORUNLU!B108,"AAAAAG7//6s=")</f>
        <v>#VALUE!</v>
      </c>
      <c r="FQ17" t="e">
        <f>AND(ZORUNLU!C99,"AAAAAG7//6w=")</f>
        <v>#VALUE!</v>
      </c>
      <c r="FR17" t="e">
        <f>AND(ZORUNLU!D99,"AAAAAG7//60=")</f>
        <v>#VALUE!</v>
      </c>
      <c r="FS17" t="e">
        <f>AND(ZORUNLU!E99,"AAAAAG7//64=")</f>
        <v>#VALUE!</v>
      </c>
      <c r="FT17" t="e">
        <f>AND(ZORUNLU!F99,"AAAAAG7//68=")</f>
        <v>#VALUE!</v>
      </c>
      <c r="FU17" t="e">
        <f>AND(ZORUNLU!G99,"AAAAAG7//7A=")</f>
        <v>#VALUE!</v>
      </c>
      <c r="FV17" t="e">
        <f>AND(ZORUNLU!H106,"AAAAAG7//7E=")</f>
        <v>#VALUE!</v>
      </c>
      <c r="FW17" t="e">
        <f>AND(ZORUNLU!I99,"AAAAAG7//7I=")</f>
        <v>#VALUE!</v>
      </c>
      <c r="FX17" t="e">
        <f>AND(ZORUNLU!J101,"AAAAAG7//7M=")</f>
        <v>#VALUE!</v>
      </c>
      <c r="FY17" t="e">
        <f>AND(ZORUNLU!K101,"AAAAAG7//7Q=")</f>
        <v>#VALUE!</v>
      </c>
      <c r="FZ17" t="e">
        <f>AND(ZORUNLU!L101,"AAAAAG7//7U=")</f>
        <v>#VALUE!</v>
      </c>
      <c r="GA17" t="e">
        <f>AND(ZORUNLU!M101,"AAAAAG7//7Y=")</f>
        <v>#VALUE!</v>
      </c>
      <c r="GB17" t="e">
        <f>AND(ZORUNLU!N101,"AAAAAG7//7c=")</f>
        <v>#VALUE!</v>
      </c>
      <c r="GC17" t="e">
        <f>AND(ZORUNLU!O109,"AAAAAG7//7g=")</f>
        <v>#VALUE!</v>
      </c>
      <c r="GD17" t="e">
        <f>AND(ZORUNLU!P109,"AAAAAG7//7k=")</f>
        <v>#VALUE!</v>
      </c>
      <c r="GE17" t="e">
        <f>AND(ZORUNLU!Q106,"AAAAAG7//7o=")</f>
        <v>#VALUE!</v>
      </c>
      <c r="GF17" t="e">
        <f>AND(ZORUNLU!R106,"AAAAAG7//7s=")</f>
        <v>#VALUE!</v>
      </c>
      <c r="GG17" t="e">
        <f>AND(ZORUNLU!S115,"AAAAAG7//7w=")</f>
        <v>#VALUE!</v>
      </c>
      <c r="GH17" t="e">
        <f>AND(ZORUNLU!T115,"AAAAAG7//70=")</f>
        <v>#VALUE!</v>
      </c>
      <c r="GI17" t="e">
        <f>AND(ZORUNLU!U115,"AAAAAG7//74=")</f>
        <v>#VALUE!</v>
      </c>
      <c r="GJ17" t="e">
        <f>AND(ZORUNLU!V115,"AAAAAG7//78=")</f>
        <v>#VALUE!</v>
      </c>
      <c r="GK17" t="e">
        <f>AND(ZORUNLU!W115,"AAAAAG7//8A=")</f>
        <v>#VALUE!</v>
      </c>
      <c r="GL17" t="e">
        <f>AND(ZORUNLU!X115,"AAAAAG7//8E=")</f>
        <v>#VALUE!</v>
      </c>
      <c r="GM17">
        <f>IF(ZORUNLU!117:117,"AAAAAG7//8I=",0)</f>
        <v>0</v>
      </c>
      <c r="GN17" t="e">
        <f>AND(ZORUNLU!B109,"AAAAAG7//8M=")</f>
        <v>#VALUE!</v>
      </c>
      <c r="GO17" t="e">
        <f>AND(ZORUNLU!C100,"AAAAAG7//8Q=")</f>
        <v>#VALUE!</v>
      </c>
      <c r="GP17" t="e">
        <f>AND(ZORUNLU!D100,"AAAAAG7//8U=")</f>
        <v>#VALUE!</v>
      </c>
      <c r="GQ17" t="e">
        <f>AND(ZORUNLU!E100,"AAAAAG7//8Y=")</f>
        <v>#VALUE!</v>
      </c>
      <c r="GR17" t="e">
        <f>AND(ZORUNLU!F100,"AAAAAG7//8c=")</f>
        <v>#VALUE!</v>
      </c>
      <c r="GS17" t="e">
        <f>AND(ZORUNLU!G100,"AAAAAG7//8g=")</f>
        <v>#VALUE!</v>
      </c>
      <c r="GT17" t="e">
        <f>AND(ZORUNLU!H107,"AAAAAG7//8k=")</f>
        <v>#VALUE!</v>
      </c>
      <c r="GU17" t="e">
        <f>AND(ZORUNLU!I100,"AAAAAG7//8o=")</f>
        <v>#VALUE!</v>
      </c>
      <c r="GV17" t="e">
        <f>AND(ZORUNLU!J102,"AAAAAG7//8s=")</f>
        <v>#VALUE!</v>
      </c>
      <c r="GW17" t="e">
        <f>AND(ZORUNLU!K102,"AAAAAG7//8w=")</f>
        <v>#VALUE!</v>
      </c>
      <c r="GX17" t="e">
        <f>AND(ZORUNLU!L102,"AAAAAG7//80=")</f>
        <v>#VALUE!</v>
      </c>
      <c r="GY17" t="e">
        <f>AND(ZORUNLU!M102,"AAAAAG7//84=")</f>
        <v>#VALUE!</v>
      </c>
      <c r="GZ17" t="e">
        <f>AND(ZORUNLU!N102,"AAAAAG7//88=")</f>
        <v>#VALUE!</v>
      </c>
      <c r="HA17" t="e">
        <f>AND(ZORUNLU!O110,"AAAAAG7//9A=")</f>
        <v>#VALUE!</v>
      </c>
      <c r="HB17" t="e">
        <f>AND(ZORUNLU!P110,"AAAAAG7//9E=")</f>
        <v>#VALUE!</v>
      </c>
      <c r="HC17" t="e">
        <f>AND(ZORUNLU!Q107,"AAAAAG7//9I=")</f>
        <v>#VALUE!</v>
      </c>
      <c r="HD17" t="e">
        <f>AND(ZORUNLU!R107,"AAAAAG7//9M=")</f>
        <v>#VALUE!</v>
      </c>
      <c r="HE17" t="e">
        <f>AND(ZORUNLU!S116,"AAAAAG7//9Q=")</f>
        <v>#VALUE!</v>
      </c>
      <c r="HF17" t="e">
        <f>AND(ZORUNLU!T116,"AAAAAG7//9U=")</f>
        <v>#VALUE!</v>
      </c>
      <c r="HG17" t="e">
        <f>AND(ZORUNLU!U116,"AAAAAG7//9Y=")</f>
        <v>#VALUE!</v>
      </c>
      <c r="HH17" t="e">
        <f>AND(ZORUNLU!V116,"AAAAAG7//9c=")</f>
        <v>#VALUE!</v>
      </c>
      <c r="HI17" t="e">
        <f>AND(ZORUNLU!W116,"AAAAAG7//9g=")</f>
        <v>#VALUE!</v>
      </c>
      <c r="HJ17" t="e">
        <f>AND(ZORUNLU!X116,"AAAAAG7//9k=")</f>
        <v>#VALUE!</v>
      </c>
      <c r="HK17">
        <f>IF(ZORUNLU!118:118,"AAAAAG7//9o=",0)</f>
        <v>0</v>
      </c>
      <c r="HL17" t="e">
        <f>AND(ZORUNLU!B110,"AAAAAG7//9s=")</f>
        <v>#VALUE!</v>
      </c>
      <c r="HM17" t="e">
        <f>AND(ZORUNLU!C101,"AAAAAG7//9w=")</f>
        <v>#VALUE!</v>
      </c>
      <c r="HN17" t="e">
        <f>AND(ZORUNLU!D101,"AAAAAG7//90=")</f>
        <v>#VALUE!</v>
      </c>
      <c r="HO17" t="e">
        <f>AND(ZORUNLU!E101,"AAAAAG7//94=")</f>
        <v>#VALUE!</v>
      </c>
      <c r="HP17" t="e">
        <f>AND(ZORUNLU!F101,"AAAAAG7//98=")</f>
        <v>#VALUE!</v>
      </c>
      <c r="HQ17" t="e">
        <f>AND(ZORUNLU!G101,"AAAAAG7//+A=")</f>
        <v>#VALUE!</v>
      </c>
      <c r="HR17" t="e">
        <f>AND(ZORUNLU!H108,"AAAAAG7//+E=")</f>
        <v>#VALUE!</v>
      </c>
      <c r="HS17" t="e">
        <f>AND(ZORUNLU!I101,"AAAAAG7//+I=")</f>
        <v>#VALUE!</v>
      </c>
      <c r="HT17" t="e">
        <f>AND(ZORUNLU!J103,"AAAAAG7//+M=")</f>
        <v>#VALUE!</v>
      </c>
      <c r="HU17" t="e">
        <f>AND(ZORUNLU!K103,"AAAAAG7//+Q=")</f>
        <v>#VALUE!</v>
      </c>
      <c r="HV17" t="e">
        <f>AND(ZORUNLU!L103,"AAAAAG7//+U=")</f>
        <v>#VALUE!</v>
      </c>
      <c r="HW17" t="e">
        <f>AND(ZORUNLU!M103,"AAAAAG7//+Y=")</f>
        <v>#VALUE!</v>
      </c>
      <c r="HX17" t="e">
        <f>AND(ZORUNLU!N103,"AAAAAG7//+c=")</f>
        <v>#VALUE!</v>
      </c>
      <c r="HY17" t="e">
        <f>AND(ZORUNLU!O111,"AAAAAG7//+g=")</f>
        <v>#VALUE!</v>
      </c>
      <c r="HZ17" t="e">
        <f>AND(ZORUNLU!P111,"AAAAAG7//+k=")</f>
        <v>#VALUE!</v>
      </c>
      <c r="IA17" t="e">
        <f>AND(ZORUNLU!Q108,"AAAAAG7//+o=")</f>
        <v>#VALUE!</v>
      </c>
      <c r="IB17" t="e">
        <f>AND(ZORUNLU!R108,"AAAAAG7//+s=")</f>
        <v>#VALUE!</v>
      </c>
      <c r="IC17" t="e">
        <f>AND(ZORUNLU!S117,"AAAAAG7//+w=")</f>
        <v>#VALUE!</v>
      </c>
      <c r="ID17" t="e">
        <f>AND(ZORUNLU!T117,"AAAAAG7//+0=")</f>
        <v>#VALUE!</v>
      </c>
      <c r="IE17" t="e">
        <f>AND(ZORUNLU!U117,"AAAAAG7//+4=")</f>
        <v>#VALUE!</v>
      </c>
      <c r="IF17" t="e">
        <f>AND(ZORUNLU!V117,"AAAAAG7//+8=")</f>
        <v>#VALUE!</v>
      </c>
      <c r="IG17" t="e">
        <f>AND(ZORUNLU!W117,"AAAAAG7///A=")</f>
        <v>#VALUE!</v>
      </c>
      <c r="IH17" t="e">
        <f>AND(ZORUNLU!X117,"AAAAAG7///E=")</f>
        <v>#VALUE!</v>
      </c>
      <c r="II17" t="e">
        <f>IF("N",ZORUNLU!_xlnm.Print_Area,"AAAAAG7///I=")</f>
        <v>#VALUE!</v>
      </c>
    </row>
    <row r="18" spans="1:243" x14ac:dyDescent="0.25">
      <c r="A18" t="e">
        <f>IF("N",ZORUNLU!_xlnm.Print_Area,"AAAAAF3+TwA=")</f>
        <v>#VALUE!</v>
      </c>
    </row>
    <row r="19" spans="1:243" x14ac:dyDescent="0.25">
      <c r="A19" t="e">
        <f>IF("N",ZORUNLU!_xlnm.Print_Area,"AAAAAEn9tgA=")</f>
        <v>#VALUE!</v>
      </c>
    </row>
    <row r="20" spans="1:243" x14ac:dyDescent="0.25">
      <c r="A20" t="e">
        <f>AND(ZORUNLU!B76,"AAAAAF93vgA=")</f>
        <v>#VALUE!</v>
      </c>
      <c r="B20" t="e">
        <f>AND(ZORUNLU!C67,"AAAAAF93vgE=")</f>
        <v>#VALUE!</v>
      </c>
      <c r="C20" t="e">
        <f>AND(ZORUNLU!D67,"AAAAAF93vgI=")</f>
        <v>#VALUE!</v>
      </c>
      <c r="D20" t="e">
        <f>AND(ZORUNLU!E67,"AAAAAF93vgM=")</f>
        <v>#VALUE!</v>
      </c>
      <c r="E20" t="e">
        <f>AND(ZORUNLU!F67,"AAAAAF93vgQ=")</f>
        <v>#VALUE!</v>
      </c>
      <c r="F20" t="e">
        <f>AND(ZORUNLU!G67,"AAAAAF93vgU=")</f>
        <v>#VALUE!</v>
      </c>
      <c r="G20" t="e">
        <f>IF("N",ZORUNLU!_xlnm.Print_Area,"AAAAAF93vgY=")</f>
        <v>#VALUE!</v>
      </c>
    </row>
  </sheetData>
  <phoneticPr fontId="1" type="noConversion"/>
  <pageMargins left="0.7" right="0.7" top="0.75" bottom="0.75" header="0.3" footer="0.3"/>
  <customProperties>
    <customPr name="DVSECTION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>
    <pageSetUpPr fitToPage="1"/>
  </sheetPr>
  <dimension ref="B2:AD246"/>
  <sheetViews>
    <sheetView zoomScale="75" zoomScaleNormal="75" workbookViewId="0">
      <selection activeCell="C72" sqref="C72"/>
    </sheetView>
  </sheetViews>
  <sheetFormatPr defaultColWidth="11.25" defaultRowHeight="15" x14ac:dyDescent="0.25"/>
  <cols>
    <col min="1" max="1" width="7.125" style="1" customWidth="1"/>
    <col min="2" max="2" width="11.75" style="1" bestFit="1" customWidth="1"/>
    <col min="3" max="3" width="57.75" style="1" customWidth="1"/>
    <col min="4" max="4" width="2.875" style="1" customWidth="1"/>
    <col min="5" max="5" width="3" style="1" bestFit="1" customWidth="1"/>
    <col min="6" max="6" width="3.25" style="1" customWidth="1"/>
    <col min="7" max="7" width="5.375" style="1" customWidth="1"/>
    <col min="8" max="8" width="5.5" style="1" customWidth="1"/>
    <col min="9" max="9" width="11.75" style="1" bestFit="1" customWidth="1"/>
    <col min="10" max="10" width="58" style="1" customWidth="1"/>
    <col min="11" max="11" width="3.25" style="1" customWidth="1"/>
    <col min="12" max="12" width="3" style="1" bestFit="1" customWidth="1"/>
    <col min="13" max="13" width="3.25" style="1" customWidth="1"/>
    <col min="14" max="14" width="4.875" style="1" bestFit="1" customWidth="1"/>
    <col min="15" max="15" width="5.25" style="1" customWidth="1"/>
    <col min="16" max="16" width="5.625" style="1" customWidth="1"/>
    <col min="17" max="17" width="10.125" style="1" bestFit="1" customWidth="1"/>
    <col min="18" max="18" width="30.875" style="1" bestFit="1" customWidth="1"/>
    <col min="19" max="21" width="2.75" style="1" bestFit="1" customWidth="1"/>
    <col min="22" max="22" width="4.875" style="1" bestFit="1" customWidth="1"/>
    <col min="23" max="23" width="4.75" style="1" customWidth="1"/>
    <col min="24" max="24" width="11.75" style="1" bestFit="1" customWidth="1"/>
    <col min="25" max="25" width="33.25" style="1" bestFit="1" customWidth="1"/>
    <col min="26" max="26" width="3.875" style="1" customWidth="1"/>
    <col min="27" max="28" width="2.75" style="1" bestFit="1" customWidth="1"/>
    <col min="29" max="29" width="4.875" style="1" bestFit="1" customWidth="1"/>
    <col min="30" max="16384" width="11.25" style="1"/>
  </cols>
  <sheetData>
    <row r="2" spans="2:30" x14ac:dyDescent="0.25">
      <c r="B2" s="29" t="s">
        <v>199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3"/>
    </row>
    <row r="3" spans="2:30" x14ac:dyDescent="0.25">
      <c r="B3" s="30" t="s">
        <v>200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</row>
    <row r="4" spans="2:30" x14ac:dyDescent="0.25">
      <c r="B4" s="30" t="s">
        <v>209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Q4" s="5"/>
    </row>
    <row r="5" spans="2:30" x14ac:dyDescent="0.25">
      <c r="B5" s="28"/>
      <c r="C5" s="13"/>
      <c r="D5" s="13"/>
      <c r="E5" s="13"/>
      <c r="F5" s="26"/>
      <c r="G5" s="13"/>
      <c r="H5" s="13"/>
      <c r="I5" s="13"/>
      <c r="J5" s="13"/>
      <c r="K5" s="8"/>
      <c r="L5" s="8"/>
      <c r="M5" s="8"/>
      <c r="N5" s="8"/>
      <c r="Q5" s="5"/>
    </row>
    <row r="6" spans="2:30" ht="15.6" customHeight="1" x14ac:dyDescent="0.25">
      <c r="B6" s="38" t="s">
        <v>119</v>
      </c>
      <c r="C6" s="38"/>
      <c r="D6" s="38"/>
      <c r="E6" s="38"/>
      <c r="F6" s="38"/>
      <c r="G6" s="38"/>
      <c r="H6" s="13"/>
      <c r="I6" s="13"/>
      <c r="J6" s="13"/>
      <c r="K6" s="8"/>
      <c r="L6" s="8"/>
      <c r="M6" s="8"/>
      <c r="N6" s="8"/>
      <c r="Q6" s="5"/>
    </row>
    <row r="7" spans="2:30" x14ac:dyDescent="0.25">
      <c r="B7" s="6" t="s">
        <v>117</v>
      </c>
      <c r="C7" s="6" t="s">
        <v>118</v>
      </c>
      <c r="D7" s="7" t="s">
        <v>0</v>
      </c>
      <c r="E7" s="7" t="s">
        <v>1</v>
      </c>
      <c r="F7" s="7" t="s">
        <v>2</v>
      </c>
      <c r="G7" s="7" t="s">
        <v>5</v>
      </c>
      <c r="H7" s="13"/>
      <c r="I7" s="13"/>
      <c r="J7" s="13"/>
      <c r="K7" s="8"/>
      <c r="L7" s="8"/>
      <c r="M7" s="8"/>
      <c r="N7" s="8"/>
      <c r="Q7" s="5"/>
    </row>
    <row r="8" spans="2:30" x14ac:dyDescent="0.25">
      <c r="B8" s="14" t="s">
        <v>103</v>
      </c>
      <c r="C8" s="14" t="s">
        <v>102</v>
      </c>
      <c r="D8" s="39">
        <v>2</v>
      </c>
      <c r="E8" s="39" t="s">
        <v>8</v>
      </c>
      <c r="F8" s="39">
        <v>2</v>
      </c>
      <c r="G8" s="39">
        <v>2</v>
      </c>
      <c r="H8" s="13"/>
      <c r="I8" s="13"/>
      <c r="J8" s="13"/>
      <c r="K8" s="8"/>
      <c r="L8" s="8"/>
      <c r="M8" s="8"/>
      <c r="N8" s="8"/>
      <c r="Q8" s="5"/>
    </row>
    <row r="9" spans="2:30" x14ac:dyDescent="0.25">
      <c r="B9" s="40" t="s">
        <v>9</v>
      </c>
      <c r="C9" s="14" t="s">
        <v>104</v>
      </c>
      <c r="D9" s="39" t="s">
        <v>8</v>
      </c>
      <c r="E9" s="39">
        <v>2</v>
      </c>
      <c r="F9" s="39">
        <v>1</v>
      </c>
      <c r="G9" s="39">
        <v>1</v>
      </c>
      <c r="H9" s="13"/>
      <c r="I9" s="13"/>
      <c r="J9" s="13"/>
      <c r="K9" s="8"/>
      <c r="L9" s="8"/>
      <c r="M9" s="8"/>
      <c r="N9" s="8"/>
      <c r="Q9" s="5"/>
    </row>
    <row r="10" spans="2:30" x14ac:dyDescent="0.25">
      <c r="B10" s="40" t="s">
        <v>10</v>
      </c>
      <c r="C10" s="14" t="s">
        <v>105</v>
      </c>
      <c r="D10" s="39">
        <v>1</v>
      </c>
      <c r="E10" s="39" t="s">
        <v>8</v>
      </c>
      <c r="F10" s="39">
        <v>1</v>
      </c>
      <c r="G10" s="39">
        <v>1</v>
      </c>
      <c r="Q10" s="5"/>
    </row>
    <row r="11" spans="2:30" x14ac:dyDescent="0.25">
      <c r="B11" s="41"/>
      <c r="C11" s="41"/>
      <c r="D11" s="42"/>
      <c r="E11" s="42"/>
      <c r="F11" s="42"/>
      <c r="G11" s="42"/>
      <c r="Q11" s="5"/>
    </row>
    <row r="12" spans="2:30" x14ac:dyDescent="0.25">
      <c r="B12" s="31" t="s">
        <v>201</v>
      </c>
      <c r="C12" s="31"/>
      <c r="D12" s="31"/>
      <c r="E12" s="31"/>
      <c r="F12" s="31"/>
      <c r="G12" s="31"/>
      <c r="I12" s="31" t="s">
        <v>205</v>
      </c>
      <c r="J12" s="31"/>
      <c r="K12" s="31"/>
      <c r="L12" s="31"/>
      <c r="M12" s="31"/>
      <c r="N12" s="31"/>
      <c r="Q12" s="5"/>
    </row>
    <row r="13" spans="2:30" x14ac:dyDescent="0.25">
      <c r="B13" s="6" t="s">
        <v>117</v>
      </c>
      <c r="C13" s="6" t="s">
        <v>118</v>
      </c>
      <c r="D13" s="7" t="s">
        <v>0</v>
      </c>
      <c r="E13" s="7" t="s">
        <v>114</v>
      </c>
      <c r="F13" s="7" t="s">
        <v>115</v>
      </c>
      <c r="G13" s="7" t="s">
        <v>116</v>
      </c>
      <c r="I13" s="6" t="s">
        <v>117</v>
      </c>
      <c r="J13" s="6" t="s">
        <v>118</v>
      </c>
      <c r="K13" s="7" t="s">
        <v>0</v>
      </c>
      <c r="L13" s="7" t="s">
        <v>114</v>
      </c>
      <c r="M13" s="7" t="s">
        <v>115</v>
      </c>
      <c r="N13" s="7" t="s">
        <v>116</v>
      </c>
      <c r="Q13" s="5"/>
    </row>
    <row r="14" spans="2:30" x14ac:dyDescent="0.25">
      <c r="B14" s="10" t="s">
        <v>11</v>
      </c>
      <c r="C14" s="14" t="s">
        <v>106</v>
      </c>
      <c r="D14" s="11">
        <v>4</v>
      </c>
      <c r="E14" s="11">
        <v>0</v>
      </c>
      <c r="F14" s="11">
        <v>4</v>
      </c>
      <c r="G14" s="11">
        <v>5</v>
      </c>
      <c r="I14" s="10" t="s">
        <v>16</v>
      </c>
      <c r="J14" s="10" t="s">
        <v>213</v>
      </c>
      <c r="K14" s="11">
        <v>4</v>
      </c>
      <c r="L14" s="11">
        <v>0</v>
      </c>
      <c r="M14" s="11">
        <v>4</v>
      </c>
      <c r="N14" s="11">
        <v>5</v>
      </c>
      <c r="Q14" s="5"/>
    </row>
    <row r="15" spans="2:30" x14ac:dyDescent="0.25">
      <c r="B15" s="10" t="s">
        <v>12</v>
      </c>
      <c r="C15" s="14" t="s">
        <v>108</v>
      </c>
      <c r="D15" s="11">
        <v>3</v>
      </c>
      <c r="E15" s="11">
        <v>0</v>
      </c>
      <c r="F15" s="11">
        <v>3</v>
      </c>
      <c r="G15" s="11">
        <v>3</v>
      </c>
      <c r="I15" s="10" t="s">
        <v>17</v>
      </c>
      <c r="J15" s="14" t="s">
        <v>123</v>
      </c>
      <c r="K15" s="11">
        <v>3</v>
      </c>
      <c r="L15" s="11">
        <v>0</v>
      </c>
      <c r="M15" s="11">
        <v>3</v>
      </c>
      <c r="N15" s="11">
        <v>3</v>
      </c>
      <c r="Q15" s="5"/>
    </row>
    <row r="16" spans="2:30" x14ac:dyDescent="0.25">
      <c r="B16" s="10" t="s">
        <v>13</v>
      </c>
      <c r="C16" s="14" t="s">
        <v>110</v>
      </c>
      <c r="D16" s="11">
        <v>3</v>
      </c>
      <c r="E16" s="11">
        <v>0</v>
      </c>
      <c r="F16" s="11">
        <v>3</v>
      </c>
      <c r="G16" s="11">
        <v>3</v>
      </c>
      <c r="I16" s="10" t="s">
        <v>18</v>
      </c>
      <c r="J16" s="14" t="s">
        <v>124</v>
      </c>
      <c r="K16" s="11">
        <v>1</v>
      </c>
      <c r="L16" s="11">
        <v>2</v>
      </c>
      <c r="M16" s="11">
        <v>2</v>
      </c>
      <c r="N16" s="11">
        <v>3</v>
      </c>
      <c r="Q16" s="5"/>
    </row>
    <row r="17" spans="2:17" x14ac:dyDescent="0.25">
      <c r="B17" s="10" t="s">
        <v>14</v>
      </c>
      <c r="C17" s="14" t="s">
        <v>111</v>
      </c>
      <c r="D17" s="11">
        <v>2</v>
      </c>
      <c r="E17" s="11">
        <v>2</v>
      </c>
      <c r="F17" s="11">
        <v>3</v>
      </c>
      <c r="G17" s="11">
        <v>4</v>
      </c>
      <c r="I17" s="10" t="s">
        <v>19</v>
      </c>
      <c r="J17" s="9" t="s">
        <v>214</v>
      </c>
      <c r="K17" s="11">
        <v>2</v>
      </c>
      <c r="L17" s="11">
        <v>2</v>
      </c>
      <c r="M17" s="11">
        <v>3</v>
      </c>
      <c r="N17" s="11">
        <v>4</v>
      </c>
      <c r="Q17" s="5"/>
    </row>
    <row r="18" spans="2:17" x14ac:dyDescent="0.25">
      <c r="B18" s="10" t="s">
        <v>71</v>
      </c>
      <c r="C18" s="9" t="s">
        <v>107</v>
      </c>
      <c r="D18" s="11">
        <v>1</v>
      </c>
      <c r="E18" s="11">
        <v>2</v>
      </c>
      <c r="F18" s="11">
        <v>2</v>
      </c>
      <c r="G18" s="11">
        <v>3</v>
      </c>
      <c r="I18" s="10" t="s">
        <v>72</v>
      </c>
      <c r="J18" s="14" t="s">
        <v>125</v>
      </c>
      <c r="K18" s="11">
        <v>1</v>
      </c>
      <c r="L18" s="11">
        <v>2</v>
      </c>
      <c r="M18" s="11">
        <v>2</v>
      </c>
      <c r="N18" s="11">
        <v>3</v>
      </c>
      <c r="Q18" s="5"/>
    </row>
    <row r="19" spans="2:17" x14ac:dyDescent="0.25">
      <c r="B19" s="10" t="s">
        <v>75</v>
      </c>
      <c r="C19" s="14" t="s">
        <v>109</v>
      </c>
      <c r="D19" s="11">
        <v>2</v>
      </c>
      <c r="E19" s="11">
        <v>6</v>
      </c>
      <c r="F19" s="11">
        <v>5</v>
      </c>
      <c r="G19" s="11">
        <v>10</v>
      </c>
      <c r="I19" s="10" t="s">
        <v>76</v>
      </c>
      <c r="J19" s="9" t="s">
        <v>217</v>
      </c>
      <c r="K19" s="11">
        <v>2</v>
      </c>
      <c r="L19" s="11">
        <v>6</v>
      </c>
      <c r="M19" s="11">
        <v>5</v>
      </c>
      <c r="N19" s="11">
        <v>10</v>
      </c>
      <c r="Q19" s="5"/>
    </row>
    <row r="20" spans="2:17" x14ac:dyDescent="0.25">
      <c r="B20" s="10" t="s">
        <v>15</v>
      </c>
      <c r="C20" s="14" t="s">
        <v>112</v>
      </c>
      <c r="D20" s="11">
        <v>2</v>
      </c>
      <c r="E20" s="11">
        <v>0</v>
      </c>
      <c r="F20" s="11">
        <v>2</v>
      </c>
      <c r="G20" s="11">
        <v>2</v>
      </c>
      <c r="I20" s="10" t="s">
        <v>20</v>
      </c>
      <c r="J20" s="14" t="s">
        <v>126</v>
      </c>
      <c r="K20" s="11">
        <v>2</v>
      </c>
      <c r="L20" s="11">
        <v>0</v>
      </c>
      <c r="M20" s="11">
        <v>2</v>
      </c>
      <c r="N20" s="11">
        <v>2</v>
      </c>
      <c r="Q20" s="5"/>
    </row>
    <row r="21" spans="2:17" x14ac:dyDescent="0.25">
      <c r="B21" s="10" t="s">
        <v>113</v>
      </c>
      <c r="C21" s="9"/>
      <c r="D21" s="11">
        <v>17</v>
      </c>
      <c r="E21" s="11">
        <v>10</v>
      </c>
      <c r="F21" s="11">
        <v>22</v>
      </c>
      <c r="G21" s="11">
        <v>30</v>
      </c>
      <c r="I21" s="10" t="s">
        <v>113</v>
      </c>
      <c r="J21" s="9"/>
      <c r="K21" s="11">
        <v>15</v>
      </c>
      <c r="L21" s="11">
        <v>12</v>
      </c>
      <c r="M21" s="11">
        <v>21</v>
      </c>
      <c r="N21" s="11">
        <v>30</v>
      </c>
      <c r="Q21" s="5"/>
    </row>
    <row r="22" spans="2:17" x14ac:dyDescent="0.25">
      <c r="B22" s="5"/>
      <c r="C22" s="1" t="s">
        <v>120</v>
      </c>
      <c r="D22" s="8"/>
      <c r="E22" s="8"/>
      <c r="F22" s="8"/>
      <c r="G22" s="8"/>
      <c r="I22" s="5"/>
      <c r="J22" s="1" t="s">
        <v>120</v>
      </c>
      <c r="K22" s="8"/>
      <c r="L22" s="8"/>
      <c r="M22" s="8"/>
      <c r="N22" s="8"/>
      <c r="Q22" s="5"/>
    </row>
    <row r="23" spans="2:17" x14ac:dyDescent="0.25">
      <c r="Q23" s="5"/>
    </row>
    <row r="24" spans="2:17" x14ac:dyDescent="0.25">
      <c r="Q24" s="5"/>
    </row>
    <row r="25" spans="2:17" x14ac:dyDescent="0.25">
      <c r="B25" s="31" t="s">
        <v>202</v>
      </c>
      <c r="C25" s="31"/>
      <c r="D25" s="31"/>
      <c r="E25" s="31"/>
      <c r="F25" s="31"/>
      <c r="G25" s="31"/>
      <c r="I25" s="31" t="s">
        <v>206</v>
      </c>
      <c r="J25" s="31"/>
      <c r="K25" s="31"/>
      <c r="L25" s="31"/>
      <c r="M25" s="31"/>
      <c r="N25" s="31"/>
      <c r="Q25" s="5"/>
    </row>
    <row r="26" spans="2:17" x14ac:dyDescent="0.25">
      <c r="B26" s="6" t="s">
        <v>117</v>
      </c>
      <c r="C26" s="6" t="s">
        <v>118</v>
      </c>
      <c r="D26" s="7" t="s">
        <v>0</v>
      </c>
      <c r="E26" s="7" t="s">
        <v>114</v>
      </c>
      <c r="F26" s="7" t="s">
        <v>115</v>
      </c>
      <c r="G26" s="7" t="s">
        <v>116</v>
      </c>
      <c r="I26" s="6" t="s">
        <v>117</v>
      </c>
      <c r="J26" s="6" t="s">
        <v>118</v>
      </c>
      <c r="K26" s="7" t="s">
        <v>0</v>
      </c>
      <c r="L26" s="7" t="s">
        <v>114</v>
      </c>
      <c r="M26" s="7" t="s">
        <v>115</v>
      </c>
      <c r="N26" s="7" t="s">
        <v>116</v>
      </c>
      <c r="Q26" s="5"/>
    </row>
    <row r="27" spans="2:17" x14ac:dyDescent="0.25">
      <c r="B27" s="10" t="s">
        <v>21</v>
      </c>
      <c r="C27" s="14" t="s">
        <v>127</v>
      </c>
      <c r="D27" s="11">
        <v>2</v>
      </c>
      <c r="E27" s="11">
        <v>0</v>
      </c>
      <c r="F27" s="11">
        <v>2</v>
      </c>
      <c r="G27" s="11">
        <v>2</v>
      </c>
      <c r="I27" s="10" t="s">
        <v>23</v>
      </c>
      <c r="J27" s="1" t="s">
        <v>131</v>
      </c>
      <c r="K27" s="11">
        <v>2</v>
      </c>
      <c r="L27" s="11">
        <v>0</v>
      </c>
      <c r="M27" s="11">
        <v>2</v>
      </c>
      <c r="N27" s="11">
        <v>2</v>
      </c>
      <c r="Q27" s="5"/>
    </row>
    <row r="28" spans="2:17" x14ac:dyDescent="0.25">
      <c r="B28" s="10" t="s">
        <v>22</v>
      </c>
      <c r="C28" s="27" t="s">
        <v>215</v>
      </c>
      <c r="D28" s="11">
        <v>4</v>
      </c>
      <c r="E28" s="11">
        <v>0</v>
      </c>
      <c r="F28" s="11">
        <v>4</v>
      </c>
      <c r="G28" s="11">
        <v>5</v>
      </c>
      <c r="I28" s="10" t="s">
        <v>24</v>
      </c>
      <c r="J28" s="27" t="s">
        <v>216</v>
      </c>
      <c r="K28" s="11">
        <v>4</v>
      </c>
      <c r="L28" s="11">
        <v>0</v>
      </c>
      <c r="M28" s="11">
        <v>4</v>
      </c>
      <c r="N28" s="11">
        <v>5</v>
      </c>
      <c r="Q28" s="5"/>
    </row>
    <row r="29" spans="2:17" x14ac:dyDescent="0.25">
      <c r="B29" s="43" t="s">
        <v>91</v>
      </c>
      <c r="C29" s="14" t="s">
        <v>129</v>
      </c>
      <c r="D29" s="44" t="s">
        <v>25</v>
      </c>
      <c r="E29" s="44" t="s">
        <v>6</v>
      </c>
      <c r="F29" s="44" t="s">
        <v>6</v>
      </c>
      <c r="G29" s="44" t="s">
        <v>7</v>
      </c>
      <c r="I29" s="43" t="s">
        <v>92</v>
      </c>
      <c r="J29" s="43" t="s">
        <v>218</v>
      </c>
      <c r="K29" s="44" t="s">
        <v>25</v>
      </c>
      <c r="L29" s="44" t="s">
        <v>6</v>
      </c>
      <c r="M29" s="44" t="s">
        <v>6</v>
      </c>
      <c r="N29" s="44" t="s">
        <v>7</v>
      </c>
      <c r="Q29" s="5"/>
    </row>
    <row r="30" spans="2:17" x14ac:dyDescent="0.25">
      <c r="B30" s="10" t="s">
        <v>95</v>
      </c>
      <c r="C30" s="9" t="s">
        <v>134</v>
      </c>
      <c r="D30" s="11">
        <v>2</v>
      </c>
      <c r="E30" s="11">
        <v>0</v>
      </c>
      <c r="F30" s="11">
        <v>2</v>
      </c>
      <c r="G30" s="11">
        <v>2</v>
      </c>
      <c r="I30" s="43" t="s">
        <v>73</v>
      </c>
      <c r="J30" s="45" t="s">
        <v>133</v>
      </c>
      <c r="K30" s="44" t="s">
        <v>89</v>
      </c>
      <c r="L30" s="44" t="s">
        <v>6</v>
      </c>
      <c r="M30" s="44" t="s">
        <v>25</v>
      </c>
      <c r="N30" s="44" t="s">
        <v>6</v>
      </c>
      <c r="Q30" s="5"/>
    </row>
    <row r="31" spans="2:17" x14ac:dyDescent="0.25">
      <c r="B31" s="10" t="s">
        <v>93</v>
      </c>
      <c r="C31" s="14" t="s">
        <v>130</v>
      </c>
      <c r="D31" s="11">
        <v>3</v>
      </c>
      <c r="E31" s="11">
        <v>0</v>
      </c>
      <c r="F31" s="11">
        <v>3</v>
      </c>
      <c r="G31" s="11">
        <v>3</v>
      </c>
      <c r="I31" s="10" t="s">
        <v>94</v>
      </c>
      <c r="J31" s="1" t="s">
        <v>132</v>
      </c>
      <c r="K31" s="11">
        <v>3</v>
      </c>
      <c r="L31" s="11">
        <v>0</v>
      </c>
      <c r="M31" s="11">
        <v>3</v>
      </c>
      <c r="N31" s="11">
        <v>3</v>
      </c>
      <c r="Q31" s="5"/>
    </row>
    <row r="32" spans="2:17" x14ac:dyDescent="0.25">
      <c r="B32" s="10" t="s">
        <v>82</v>
      </c>
      <c r="C32" s="14" t="s">
        <v>128</v>
      </c>
      <c r="D32" s="11">
        <v>2</v>
      </c>
      <c r="E32" s="11">
        <v>2</v>
      </c>
      <c r="F32" s="11">
        <v>3</v>
      </c>
      <c r="G32" s="11">
        <v>5</v>
      </c>
      <c r="I32" s="10" t="s">
        <v>83</v>
      </c>
      <c r="J32" s="9" t="s">
        <v>219</v>
      </c>
      <c r="K32" s="11">
        <v>2</v>
      </c>
      <c r="L32" s="11">
        <v>2</v>
      </c>
      <c r="M32" s="11">
        <v>3</v>
      </c>
      <c r="N32" s="11">
        <v>5</v>
      </c>
      <c r="Q32" s="5"/>
    </row>
    <row r="33" spans="2:17" x14ac:dyDescent="0.25">
      <c r="B33" s="10" t="s">
        <v>77</v>
      </c>
      <c r="C33" s="9" t="s">
        <v>220</v>
      </c>
      <c r="D33" s="11">
        <v>2</v>
      </c>
      <c r="E33" s="11">
        <v>6</v>
      </c>
      <c r="F33" s="11">
        <v>5</v>
      </c>
      <c r="G33" s="11">
        <v>10</v>
      </c>
      <c r="H33" s="12"/>
      <c r="I33" s="10" t="s">
        <v>78</v>
      </c>
      <c r="J33" s="9" t="s">
        <v>221</v>
      </c>
      <c r="K33" s="11">
        <v>2</v>
      </c>
      <c r="L33" s="11">
        <v>6</v>
      </c>
      <c r="M33" s="11">
        <v>5</v>
      </c>
      <c r="N33" s="11">
        <v>10</v>
      </c>
      <c r="Q33" s="5"/>
    </row>
    <row r="34" spans="2:17" x14ac:dyDescent="0.25">
      <c r="B34" s="10" t="s">
        <v>113</v>
      </c>
      <c r="C34" s="9"/>
      <c r="D34" s="11">
        <v>16</v>
      </c>
      <c r="E34" s="11">
        <v>10</v>
      </c>
      <c r="F34" s="11">
        <v>21</v>
      </c>
      <c r="G34" s="11">
        <v>30</v>
      </c>
      <c r="H34" s="12"/>
      <c r="I34" s="10" t="s">
        <v>113</v>
      </c>
      <c r="J34" s="9"/>
      <c r="K34" s="11">
        <v>14</v>
      </c>
      <c r="L34" s="11">
        <v>12</v>
      </c>
      <c r="M34" s="11">
        <v>20</v>
      </c>
      <c r="N34" s="11">
        <v>30</v>
      </c>
      <c r="Q34" s="5"/>
    </row>
    <row r="35" spans="2:17" x14ac:dyDescent="0.25">
      <c r="C35" s="1" t="s">
        <v>120</v>
      </c>
      <c r="H35" s="12"/>
      <c r="J35" s="1" t="s">
        <v>120</v>
      </c>
      <c r="Q35" s="5"/>
    </row>
    <row r="36" spans="2:17" x14ac:dyDescent="0.25">
      <c r="J36" s="3"/>
      <c r="Q36" s="5"/>
    </row>
    <row r="37" spans="2:17" x14ac:dyDescent="0.25">
      <c r="B37" s="5"/>
      <c r="D37" s="8"/>
      <c r="E37" s="8"/>
      <c r="F37" s="8"/>
      <c r="G37" s="8"/>
      <c r="I37" s="5"/>
      <c r="K37" s="8"/>
      <c r="L37" s="8"/>
      <c r="M37" s="8"/>
      <c r="N37" s="8"/>
      <c r="Q37" s="5"/>
    </row>
    <row r="38" spans="2:17" x14ac:dyDescent="0.25">
      <c r="B38" s="32" t="s">
        <v>203</v>
      </c>
      <c r="C38" s="33"/>
      <c r="D38" s="7"/>
      <c r="E38" s="7"/>
      <c r="F38" s="7"/>
      <c r="G38" s="7"/>
      <c r="I38" s="31" t="s">
        <v>207</v>
      </c>
      <c r="J38" s="31"/>
      <c r="K38" s="31"/>
      <c r="L38" s="31"/>
      <c r="M38" s="31"/>
      <c r="N38" s="31"/>
      <c r="Q38" s="5"/>
    </row>
    <row r="39" spans="2:17" x14ac:dyDescent="0.25">
      <c r="B39" s="6" t="s">
        <v>117</v>
      </c>
      <c r="C39" s="6" t="s">
        <v>118</v>
      </c>
      <c r="D39" s="7" t="s">
        <v>0</v>
      </c>
      <c r="E39" s="7" t="s">
        <v>114</v>
      </c>
      <c r="F39" s="7" t="s">
        <v>115</v>
      </c>
      <c r="G39" s="7" t="s">
        <v>116</v>
      </c>
      <c r="I39" s="6" t="s">
        <v>117</v>
      </c>
      <c r="J39" s="6" t="s">
        <v>118</v>
      </c>
      <c r="K39" s="7" t="s">
        <v>0</v>
      </c>
      <c r="L39" s="7" t="s">
        <v>114</v>
      </c>
      <c r="M39" s="7" t="s">
        <v>115</v>
      </c>
      <c r="N39" s="7" t="s">
        <v>116</v>
      </c>
      <c r="Q39" s="5"/>
    </row>
    <row r="40" spans="2:17" x14ac:dyDescent="0.25">
      <c r="B40" s="10" t="s">
        <v>70</v>
      </c>
      <c r="C40" s="9" t="s">
        <v>135</v>
      </c>
      <c r="D40" s="11">
        <v>1</v>
      </c>
      <c r="E40" s="11">
        <v>2</v>
      </c>
      <c r="F40" s="11">
        <v>2</v>
      </c>
      <c r="G40" s="11">
        <v>4</v>
      </c>
      <c r="I40" s="10" t="s">
        <v>70</v>
      </c>
      <c r="J40" s="14" t="s">
        <v>140</v>
      </c>
      <c r="K40" s="11">
        <v>1</v>
      </c>
      <c r="L40" s="11">
        <v>2</v>
      </c>
      <c r="M40" s="11">
        <v>2</v>
      </c>
      <c r="N40" s="11">
        <v>4</v>
      </c>
      <c r="Q40" s="5"/>
    </row>
    <row r="41" spans="2:17" x14ac:dyDescent="0.25">
      <c r="B41" s="10" t="s">
        <v>26</v>
      </c>
      <c r="C41" s="9" t="s">
        <v>137</v>
      </c>
      <c r="D41" s="11">
        <v>3</v>
      </c>
      <c r="E41" s="11">
        <v>0</v>
      </c>
      <c r="F41" s="11">
        <v>3</v>
      </c>
      <c r="G41" s="11">
        <v>3</v>
      </c>
      <c r="I41" s="10" t="s">
        <v>70</v>
      </c>
      <c r="J41" s="14" t="s">
        <v>141</v>
      </c>
      <c r="K41" s="11">
        <v>3</v>
      </c>
      <c r="L41" s="11">
        <v>0</v>
      </c>
      <c r="M41" s="11">
        <v>3</v>
      </c>
      <c r="N41" s="11">
        <v>4</v>
      </c>
      <c r="Q41" s="5"/>
    </row>
    <row r="42" spans="2:17" x14ac:dyDescent="0.25">
      <c r="B42" s="10" t="s">
        <v>96</v>
      </c>
      <c r="C42" s="9" t="s">
        <v>138</v>
      </c>
      <c r="D42" s="11">
        <v>3</v>
      </c>
      <c r="E42" s="11">
        <v>0</v>
      </c>
      <c r="F42" s="11">
        <v>3</v>
      </c>
      <c r="G42" s="11">
        <v>3</v>
      </c>
      <c r="I42" s="10" t="s">
        <v>70</v>
      </c>
      <c r="J42" s="14" t="s">
        <v>142</v>
      </c>
      <c r="K42" s="11">
        <v>3</v>
      </c>
      <c r="L42" s="11">
        <v>0</v>
      </c>
      <c r="M42" s="11">
        <v>3</v>
      </c>
      <c r="N42" s="11">
        <v>4</v>
      </c>
      <c r="Q42" s="5"/>
    </row>
    <row r="43" spans="2:17" x14ac:dyDescent="0.25">
      <c r="B43" s="10" t="s">
        <v>97</v>
      </c>
      <c r="C43" s="9" t="s">
        <v>139</v>
      </c>
      <c r="D43" s="11">
        <v>3</v>
      </c>
      <c r="E43" s="11">
        <v>0</v>
      </c>
      <c r="F43" s="11">
        <v>3</v>
      </c>
      <c r="G43" s="11">
        <v>3</v>
      </c>
      <c r="I43" s="10" t="s">
        <v>90</v>
      </c>
      <c r="J43" s="14" t="s">
        <v>143</v>
      </c>
      <c r="K43" s="11">
        <v>3</v>
      </c>
      <c r="L43" s="11">
        <v>0</v>
      </c>
      <c r="M43" s="11">
        <v>3</v>
      </c>
      <c r="N43" s="11">
        <v>3</v>
      </c>
      <c r="Q43" s="5"/>
    </row>
    <row r="44" spans="2:17" x14ac:dyDescent="0.25">
      <c r="B44" s="10" t="s">
        <v>81</v>
      </c>
      <c r="C44" s="9" t="s">
        <v>222</v>
      </c>
      <c r="D44" s="11">
        <v>1</v>
      </c>
      <c r="E44" s="11">
        <v>2</v>
      </c>
      <c r="F44" s="11">
        <v>2</v>
      </c>
      <c r="G44" s="11">
        <v>5</v>
      </c>
      <c r="I44" s="10" t="s">
        <v>84</v>
      </c>
      <c r="J44" s="9" t="s">
        <v>223</v>
      </c>
      <c r="K44" s="11">
        <v>1</v>
      </c>
      <c r="L44" s="11">
        <f>E44</f>
        <v>2</v>
      </c>
      <c r="M44" s="11">
        <f>F44</f>
        <v>2</v>
      </c>
      <c r="N44" s="11">
        <v>5</v>
      </c>
      <c r="Q44" s="5"/>
    </row>
    <row r="45" spans="2:17" x14ac:dyDescent="0.25">
      <c r="B45" s="10" t="s">
        <v>79</v>
      </c>
      <c r="C45" s="46" t="s">
        <v>224</v>
      </c>
      <c r="D45" s="11">
        <v>2</v>
      </c>
      <c r="E45" s="11">
        <v>6</v>
      </c>
      <c r="F45" s="11">
        <v>5</v>
      </c>
      <c r="G45" s="11">
        <v>10</v>
      </c>
      <c r="I45" s="10" t="s">
        <v>80</v>
      </c>
      <c r="J45" s="9" t="s">
        <v>225</v>
      </c>
      <c r="K45" s="11">
        <v>2</v>
      </c>
      <c r="L45" s="11">
        <v>6</v>
      </c>
      <c r="M45" s="11">
        <v>5</v>
      </c>
      <c r="N45" s="11">
        <v>10</v>
      </c>
      <c r="Q45" s="5"/>
    </row>
    <row r="46" spans="2:17" x14ac:dyDescent="0.25">
      <c r="B46" s="10" t="s">
        <v>74</v>
      </c>
      <c r="C46" s="9" t="s">
        <v>136</v>
      </c>
      <c r="D46" s="11">
        <v>0</v>
      </c>
      <c r="E46" s="11">
        <v>0</v>
      </c>
      <c r="F46" s="11">
        <v>0</v>
      </c>
      <c r="G46" s="11">
        <v>2</v>
      </c>
      <c r="I46" s="10" t="s">
        <v>3</v>
      </c>
      <c r="J46" s="9"/>
      <c r="K46" s="11">
        <v>13</v>
      </c>
      <c r="L46" s="11">
        <v>10</v>
      </c>
      <c r="M46" s="11">
        <v>18</v>
      </c>
      <c r="N46" s="11">
        <v>30</v>
      </c>
      <c r="Q46" s="5"/>
    </row>
    <row r="47" spans="2:17" x14ac:dyDescent="0.25">
      <c r="B47" s="10" t="s">
        <v>113</v>
      </c>
      <c r="C47" s="9"/>
      <c r="D47" s="11">
        <v>13</v>
      </c>
      <c r="E47" s="11">
        <v>10</v>
      </c>
      <c r="F47" s="11">
        <v>18</v>
      </c>
      <c r="G47" s="11">
        <v>30</v>
      </c>
      <c r="J47" s="1" t="s">
        <v>121</v>
      </c>
      <c r="Q47" s="5"/>
    </row>
    <row r="48" spans="2:17" x14ac:dyDescent="0.25">
      <c r="C48" s="1" t="s">
        <v>120</v>
      </c>
      <c r="Q48" s="5"/>
    </row>
    <row r="49" spans="2:18" x14ac:dyDescent="0.25">
      <c r="Q49" s="5"/>
    </row>
    <row r="50" spans="2:18" x14ac:dyDescent="0.25">
      <c r="B50" s="15"/>
      <c r="C50" s="16"/>
      <c r="D50" s="17"/>
      <c r="E50" s="17"/>
      <c r="F50" s="17"/>
      <c r="G50" s="17"/>
      <c r="Q50" s="5"/>
    </row>
    <row r="51" spans="2:18" x14ac:dyDescent="0.25">
      <c r="B51" s="31" t="s">
        <v>204</v>
      </c>
      <c r="C51" s="31"/>
      <c r="D51" s="31"/>
      <c r="E51" s="31"/>
      <c r="F51" s="31"/>
      <c r="G51" s="31"/>
      <c r="I51" s="31" t="s">
        <v>208</v>
      </c>
      <c r="J51" s="31"/>
      <c r="K51" s="31"/>
      <c r="L51" s="31"/>
      <c r="M51" s="31"/>
      <c r="N51" s="31"/>
      <c r="Q51" s="5"/>
    </row>
    <row r="52" spans="2:18" x14ac:dyDescent="0.25">
      <c r="B52" s="6" t="s">
        <v>117</v>
      </c>
      <c r="C52" s="6" t="s">
        <v>118</v>
      </c>
      <c r="D52" s="7" t="s">
        <v>0</v>
      </c>
      <c r="E52" s="7" t="s">
        <v>114</v>
      </c>
      <c r="F52" s="7" t="s">
        <v>115</v>
      </c>
      <c r="G52" s="7" t="s">
        <v>116</v>
      </c>
      <c r="I52" s="6" t="s">
        <v>117</v>
      </c>
      <c r="J52" s="6" t="s">
        <v>118</v>
      </c>
      <c r="K52" s="7" t="s">
        <v>0</v>
      </c>
      <c r="L52" s="7" t="s">
        <v>114</v>
      </c>
      <c r="M52" s="7" t="s">
        <v>115</v>
      </c>
      <c r="N52" s="7" t="s">
        <v>116</v>
      </c>
      <c r="Q52" s="5"/>
    </row>
    <row r="53" spans="2:18" x14ac:dyDescent="0.25">
      <c r="B53" s="10" t="s">
        <v>70</v>
      </c>
      <c r="C53" s="14" t="s">
        <v>144</v>
      </c>
      <c r="D53" s="11">
        <v>2</v>
      </c>
      <c r="E53" s="11">
        <v>2</v>
      </c>
      <c r="F53" s="11">
        <v>3</v>
      </c>
      <c r="G53" s="11">
        <v>4</v>
      </c>
      <c r="I53" s="10" t="s">
        <v>70</v>
      </c>
      <c r="J53" s="14" t="s">
        <v>149</v>
      </c>
      <c r="K53" s="11">
        <v>2</v>
      </c>
      <c r="L53" s="11">
        <v>2</v>
      </c>
      <c r="M53" s="11">
        <v>3</v>
      </c>
      <c r="N53" s="11">
        <v>4</v>
      </c>
      <c r="Q53" s="5"/>
    </row>
    <row r="54" spans="2:18" x14ac:dyDescent="0.25">
      <c r="B54" s="10" t="s">
        <v>70</v>
      </c>
      <c r="C54" s="14" t="s">
        <v>146</v>
      </c>
      <c r="D54" s="11">
        <v>2</v>
      </c>
      <c r="E54" s="11">
        <v>2</v>
      </c>
      <c r="F54" s="11">
        <v>3</v>
      </c>
      <c r="G54" s="11">
        <v>4</v>
      </c>
      <c r="I54" s="10" t="s">
        <v>70</v>
      </c>
      <c r="J54" s="14" t="s">
        <v>150</v>
      </c>
      <c r="K54" s="11">
        <v>2</v>
      </c>
      <c r="L54" s="11">
        <v>0</v>
      </c>
      <c r="M54" s="11">
        <v>2</v>
      </c>
      <c r="N54" s="11">
        <v>4</v>
      </c>
      <c r="Q54" s="5"/>
    </row>
    <row r="55" spans="2:18" x14ac:dyDescent="0.25">
      <c r="B55" s="10" t="s">
        <v>70</v>
      </c>
      <c r="C55" s="14" t="s">
        <v>147</v>
      </c>
      <c r="D55" s="11">
        <v>2</v>
      </c>
      <c r="E55" s="11">
        <v>0</v>
      </c>
      <c r="F55" s="11">
        <v>2</v>
      </c>
      <c r="G55" s="11">
        <v>4</v>
      </c>
      <c r="I55" s="10" t="s">
        <v>70</v>
      </c>
      <c r="J55" s="14" t="s">
        <v>151</v>
      </c>
      <c r="K55" s="11">
        <v>2</v>
      </c>
      <c r="L55" s="11">
        <v>0</v>
      </c>
      <c r="M55" s="11">
        <v>2</v>
      </c>
      <c r="N55" s="11">
        <v>4</v>
      </c>
      <c r="Q55" s="5"/>
    </row>
    <row r="56" spans="2:18" x14ac:dyDescent="0.25">
      <c r="B56" s="10" t="s">
        <v>210</v>
      </c>
      <c r="C56" s="14" t="s">
        <v>148</v>
      </c>
      <c r="D56" s="11">
        <v>2</v>
      </c>
      <c r="E56" s="11">
        <v>0</v>
      </c>
      <c r="F56" s="11">
        <v>2</v>
      </c>
      <c r="G56" s="11">
        <v>4</v>
      </c>
      <c r="I56" s="10" t="s">
        <v>211</v>
      </c>
      <c r="J56" s="14" t="s">
        <v>152</v>
      </c>
      <c r="K56" s="11">
        <v>2</v>
      </c>
      <c r="L56" s="11">
        <v>2</v>
      </c>
      <c r="M56" s="11">
        <v>3</v>
      </c>
      <c r="N56" s="11">
        <v>6</v>
      </c>
      <c r="Q56" s="5"/>
    </row>
    <row r="57" spans="2:18" x14ac:dyDescent="0.25">
      <c r="B57" s="10" t="s">
        <v>86</v>
      </c>
      <c r="C57" s="9" t="s">
        <v>226</v>
      </c>
      <c r="D57" s="11">
        <v>2</v>
      </c>
      <c r="E57" s="11">
        <v>6</v>
      </c>
      <c r="F57" s="11">
        <v>5</v>
      </c>
      <c r="G57" s="11">
        <v>12</v>
      </c>
      <c r="I57" s="10" t="s">
        <v>87</v>
      </c>
      <c r="J57" s="9" t="s">
        <v>227</v>
      </c>
      <c r="K57" s="11">
        <v>2</v>
      </c>
      <c r="L57" s="11">
        <v>6</v>
      </c>
      <c r="M57" s="11">
        <v>5</v>
      </c>
      <c r="N57" s="11">
        <v>12</v>
      </c>
      <c r="Q57" s="5"/>
    </row>
    <row r="58" spans="2:18" x14ac:dyDescent="0.25">
      <c r="B58" s="10" t="s">
        <v>85</v>
      </c>
      <c r="C58" s="14" t="s">
        <v>145</v>
      </c>
      <c r="D58" s="11">
        <v>0</v>
      </c>
      <c r="E58" s="11">
        <v>0</v>
      </c>
      <c r="F58" s="11">
        <v>0</v>
      </c>
      <c r="G58" s="11">
        <v>2</v>
      </c>
      <c r="I58" s="10" t="s">
        <v>113</v>
      </c>
      <c r="J58" s="9"/>
      <c r="K58" s="11">
        <v>10</v>
      </c>
      <c r="L58" s="11">
        <v>10</v>
      </c>
      <c r="M58" s="11">
        <v>15</v>
      </c>
      <c r="N58" s="11">
        <v>30</v>
      </c>
      <c r="Q58" s="5"/>
    </row>
    <row r="59" spans="2:18" x14ac:dyDescent="0.25">
      <c r="B59" s="10" t="s">
        <v>113</v>
      </c>
      <c r="C59" s="9"/>
      <c r="D59" s="11">
        <v>10</v>
      </c>
      <c r="E59" s="11">
        <v>10</v>
      </c>
      <c r="F59" s="11">
        <v>15</v>
      </c>
      <c r="G59" s="11">
        <v>30</v>
      </c>
      <c r="J59" s="1" t="s">
        <v>122</v>
      </c>
      <c r="Q59" s="5"/>
    </row>
    <row r="60" spans="2:18" x14ac:dyDescent="0.25">
      <c r="C60" s="1" t="s">
        <v>121</v>
      </c>
      <c r="Q60" s="5"/>
    </row>
    <row r="61" spans="2:18" x14ac:dyDescent="0.25">
      <c r="Q61" s="5"/>
      <c r="R61" s="1" t="s">
        <v>98</v>
      </c>
    </row>
    <row r="62" spans="2:18" x14ac:dyDescent="0.25">
      <c r="B62" s="15"/>
      <c r="C62" s="16"/>
      <c r="D62" s="17"/>
      <c r="E62" s="17"/>
      <c r="F62" s="17"/>
      <c r="G62" s="17"/>
      <c r="I62" s="15"/>
      <c r="J62" s="5" t="s">
        <v>198</v>
      </c>
      <c r="K62" s="17"/>
      <c r="L62" s="17"/>
      <c r="M62" s="17"/>
      <c r="N62" s="17"/>
      <c r="Q62" s="5"/>
    </row>
    <row r="63" spans="2:18" x14ac:dyDescent="0.25">
      <c r="J63" s="5" t="s">
        <v>153</v>
      </c>
      <c r="Q63" s="5"/>
    </row>
    <row r="64" spans="2:18" x14ac:dyDescent="0.25">
      <c r="Q64" s="5"/>
    </row>
    <row r="65" spans="3:24" x14ac:dyDescent="0.25">
      <c r="C65" s="3"/>
      <c r="D65" s="3"/>
      <c r="E65" s="3"/>
      <c r="F65" s="3"/>
      <c r="G65" s="3"/>
      <c r="H65" s="3"/>
      <c r="K65" s="5"/>
      <c r="L65" s="5"/>
      <c r="M65" s="5"/>
      <c r="N65" s="5"/>
      <c r="O65" s="5"/>
      <c r="P65" s="5"/>
      <c r="Q65" s="5"/>
    </row>
    <row r="66" spans="3:24" x14ac:dyDescent="0.25">
      <c r="C66" s="3"/>
      <c r="R66" s="3"/>
      <c r="S66" s="2"/>
      <c r="T66" s="3"/>
      <c r="U66" s="4"/>
      <c r="V66" s="4"/>
      <c r="W66" s="4"/>
      <c r="X66" s="4"/>
    </row>
    <row r="67" spans="3:24" x14ac:dyDescent="0.25">
      <c r="J67" s="3"/>
      <c r="K67" s="3"/>
      <c r="L67" s="3"/>
      <c r="M67" s="3"/>
      <c r="O67" s="3"/>
      <c r="P67" s="3"/>
      <c r="R67" s="3"/>
      <c r="S67" s="2"/>
      <c r="T67" s="3"/>
      <c r="U67" s="4"/>
      <c r="V67" s="4"/>
      <c r="W67" s="4"/>
      <c r="X67" s="4"/>
    </row>
    <row r="68" spans="3:24" x14ac:dyDescent="0.25">
      <c r="R68" s="3"/>
      <c r="S68" s="2"/>
      <c r="T68" s="3"/>
      <c r="U68" s="4"/>
      <c r="V68" s="4"/>
      <c r="W68" s="4"/>
      <c r="X68" s="4"/>
    </row>
    <row r="69" spans="3:24" x14ac:dyDescent="0.25">
      <c r="C69" s="3"/>
      <c r="D69" s="3"/>
      <c r="E69" s="3"/>
      <c r="F69" s="3"/>
      <c r="G69" s="3"/>
      <c r="I69" s="3"/>
      <c r="R69" s="3"/>
      <c r="S69" s="3"/>
      <c r="T69" s="3"/>
      <c r="U69" s="3"/>
      <c r="V69" s="3"/>
      <c r="W69" s="3"/>
      <c r="X69" s="3"/>
    </row>
    <row r="70" spans="3:24" x14ac:dyDescent="0.25">
      <c r="R70" s="3"/>
      <c r="S70" s="3"/>
      <c r="T70" s="3"/>
      <c r="U70" s="3"/>
      <c r="V70" s="3"/>
      <c r="W70" s="3"/>
      <c r="X70" s="3"/>
    </row>
    <row r="71" spans="3:24" x14ac:dyDescent="0.25">
      <c r="C71" s="3"/>
      <c r="D71" s="3"/>
      <c r="E71" s="3"/>
      <c r="F71" s="3"/>
      <c r="G71" s="3"/>
      <c r="H71" s="3"/>
      <c r="I71" s="3"/>
      <c r="J71" s="3"/>
      <c r="L71" s="3"/>
      <c r="M71" s="3"/>
      <c r="N71" s="3"/>
      <c r="O71" s="3"/>
      <c r="P71" s="3"/>
      <c r="R71" s="3"/>
      <c r="S71" s="3"/>
      <c r="T71" s="3"/>
      <c r="U71" s="3"/>
      <c r="V71" s="3"/>
      <c r="W71" s="3"/>
      <c r="X71" s="3"/>
    </row>
    <row r="72" spans="3:24" x14ac:dyDescent="0.25">
      <c r="J72" s="3"/>
      <c r="R72" s="3"/>
      <c r="S72" s="3"/>
      <c r="T72" s="3"/>
      <c r="U72" s="3"/>
      <c r="V72" s="3"/>
      <c r="W72" s="3"/>
      <c r="X72" s="3"/>
    </row>
    <row r="73" spans="3:24" x14ac:dyDescent="0.25">
      <c r="J73" s="3"/>
      <c r="K73" s="3"/>
      <c r="L73" s="3"/>
      <c r="M73" s="3"/>
      <c r="N73" s="3"/>
      <c r="O73" s="3"/>
      <c r="P73" s="3"/>
      <c r="R73" s="3"/>
      <c r="S73" s="3"/>
      <c r="T73" s="3"/>
      <c r="U73" s="3"/>
      <c r="V73" s="3"/>
      <c r="W73" s="3"/>
      <c r="X73" s="3"/>
    </row>
    <row r="74" spans="3:24" x14ac:dyDescent="0.25">
      <c r="R74" s="3"/>
      <c r="S74" s="3"/>
      <c r="T74" s="3"/>
      <c r="U74" s="3"/>
      <c r="V74" s="3"/>
      <c r="W74" s="3"/>
      <c r="X74" s="3"/>
    </row>
    <row r="75" spans="3:24" x14ac:dyDescent="0.25">
      <c r="R75" s="3"/>
      <c r="S75" s="3"/>
      <c r="T75" s="3"/>
      <c r="U75" s="3"/>
      <c r="V75" s="3"/>
      <c r="W75" s="3"/>
      <c r="X75" s="3"/>
    </row>
    <row r="76" spans="3:24" x14ac:dyDescent="0.25">
      <c r="R76" s="3"/>
      <c r="S76" s="3"/>
      <c r="T76" s="3"/>
      <c r="U76" s="3"/>
      <c r="V76" s="3"/>
      <c r="W76" s="3"/>
      <c r="X76" s="3"/>
    </row>
    <row r="77" spans="3:24" x14ac:dyDescent="0.25">
      <c r="R77" s="3"/>
      <c r="S77" s="3"/>
      <c r="T77" s="3"/>
      <c r="U77" s="3"/>
      <c r="V77" s="3"/>
      <c r="W77" s="3"/>
      <c r="X77" s="3"/>
    </row>
    <row r="78" spans="3:24" x14ac:dyDescent="0.25">
      <c r="R78" s="3"/>
      <c r="S78" s="3"/>
      <c r="T78" s="3"/>
      <c r="U78" s="3"/>
      <c r="V78" s="3"/>
      <c r="W78" s="3"/>
      <c r="X78" s="3"/>
    </row>
    <row r="79" spans="3:24" x14ac:dyDescent="0.25">
      <c r="R79" s="3"/>
      <c r="S79" s="3"/>
      <c r="T79" s="3"/>
      <c r="U79" s="3"/>
      <c r="V79" s="3"/>
      <c r="W79" s="3"/>
      <c r="X79" s="3"/>
    </row>
    <row r="80" spans="3:24" x14ac:dyDescent="0.25">
      <c r="R80" s="3"/>
      <c r="S80" s="3"/>
      <c r="T80" s="3"/>
      <c r="U80" s="3"/>
      <c r="V80" s="3"/>
      <c r="W80" s="3"/>
      <c r="X80" s="3"/>
    </row>
    <row r="81" spans="18:24" x14ac:dyDescent="0.25">
      <c r="R81" s="3"/>
      <c r="S81" s="3"/>
      <c r="T81" s="3"/>
      <c r="U81" s="3"/>
      <c r="V81" s="3"/>
      <c r="W81" s="3"/>
      <c r="X81" s="3"/>
    </row>
    <row r="82" spans="18:24" x14ac:dyDescent="0.25">
      <c r="R82" s="3"/>
      <c r="S82" s="3"/>
      <c r="T82" s="3"/>
      <c r="U82" s="3"/>
      <c r="V82" s="3"/>
      <c r="W82" s="3"/>
      <c r="X82" s="3"/>
    </row>
    <row r="83" spans="18:24" x14ac:dyDescent="0.25">
      <c r="R83" s="3"/>
      <c r="S83" s="3"/>
      <c r="T83" s="3"/>
      <c r="U83" s="3"/>
      <c r="V83" s="3"/>
      <c r="W83" s="3"/>
      <c r="X83" s="3"/>
    </row>
    <row r="84" spans="18:24" x14ac:dyDescent="0.25">
      <c r="R84" s="3"/>
      <c r="S84" s="3"/>
      <c r="T84" s="3"/>
      <c r="U84" s="3"/>
      <c r="V84" s="3"/>
      <c r="W84" s="3"/>
      <c r="X84" s="3"/>
    </row>
    <row r="85" spans="18:24" x14ac:dyDescent="0.25">
      <c r="R85" s="3"/>
      <c r="S85" s="3"/>
      <c r="T85" s="3"/>
      <c r="U85" s="3"/>
      <c r="V85" s="3"/>
      <c r="W85" s="3"/>
      <c r="X85" s="3"/>
    </row>
    <row r="86" spans="18:24" x14ac:dyDescent="0.25">
      <c r="R86" s="3"/>
      <c r="S86" s="2"/>
      <c r="T86" s="3"/>
      <c r="U86" s="4"/>
      <c r="V86" s="4"/>
      <c r="W86" s="4"/>
      <c r="X86" s="4"/>
    </row>
    <row r="87" spans="18:24" x14ac:dyDescent="0.25">
      <c r="R87" s="3"/>
      <c r="S87" s="2"/>
      <c r="T87" s="3"/>
      <c r="U87" s="4"/>
      <c r="V87" s="4"/>
      <c r="W87" s="4"/>
      <c r="X87" s="4"/>
    </row>
    <row r="88" spans="18:24" x14ac:dyDescent="0.25">
      <c r="R88" s="3"/>
      <c r="S88" s="2"/>
      <c r="T88" s="3"/>
      <c r="U88" s="4"/>
      <c r="V88" s="4"/>
      <c r="W88" s="4"/>
      <c r="X88" s="4"/>
    </row>
    <row r="89" spans="18:24" x14ac:dyDescent="0.25">
      <c r="R89" s="3"/>
      <c r="S89" s="2"/>
      <c r="T89" s="3"/>
      <c r="U89" s="4"/>
      <c r="V89" s="4"/>
      <c r="W89" s="4"/>
      <c r="X89" s="4"/>
    </row>
    <row r="90" spans="18:24" x14ac:dyDescent="0.25">
      <c r="R90" s="3"/>
      <c r="S90" s="2"/>
      <c r="T90" s="3"/>
      <c r="U90" s="4"/>
      <c r="V90" s="4"/>
      <c r="W90" s="4"/>
      <c r="X90" s="4"/>
    </row>
    <row r="91" spans="18:24" x14ac:dyDescent="0.25">
      <c r="R91" s="3"/>
      <c r="S91" s="2"/>
      <c r="T91" s="3"/>
      <c r="U91" s="4"/>
      <c r="V91" s="4"/>
      <c r="W91" s="4"/>
      <c r="X91" s="4"/>
    </row>
    <row r="92" spans="18:24" x14ac:dyDescent="0.25">
      <c r="R92" s="3"/>
      <c r="S92" s="2"/>
      <c r="T92" s="3"/>
      <c r="U92" s="4"/>
      <c r="V92" s="4"/>
      <c r="W92" s="4"/>
      <c r="X92" s="4"/>
    </row>
    <row r="93" spans="18:24" x14ac:dyDescent="0.25">
      <c r="R93" s="3"/>
      <c r="S93" s="2"/>
      <c r="T93" s="3"/>
      <c r="U93" s="4"/>
      <c r="V93" s="4"/>
      <c r="W93" s="4"/>
      <c r="X93" s="4"/>
    </row>
    <row r="94" spans="18:24" x14ac:dyDescent="0.25">
      <c r="R94" s="3"/>
      <c r="S94" s="2"/>
      <c r="T94" s="3"/>
      <c r="U94" s="4"/>
      <c r="V94" s="4"/>
      <c r="W94" s="4"/>
      <c r="X94" s="4"/>
    </row>
    <row r="95" spans="18:24" x14ac:dyDescent="0.25">
      <c r="R95" s="3"/>
      <c r="S95" s="2"/>
      <c r="T95" s="3"/>
      <c r="U95" s="4"/>
      <c r="V95" s="4"/>
      <c r="W95" s="4"/>
      <c r="X95" s="4"/>
    </row>
    <row r="96" spans="18:24" x14ac:dyDescent="0.25">
      <c r="R96" s="3"/>
      <c r="S96" s="2"/>
      <c r="T96" s="3"/>
      <c r="U96" s="4"/>
      <c r="V96" s="4"/>
      <c r="W96" s="4"/>
      <c r="X96" s="4"/>
    </row>
    <row r="97" spans="18:24" x14ac:dyDescent="0.25">
      <c r="R97" s="3"/>
      <c r="S97" s="2"/>
      <c r="T97" s="3"/>
      <c r="U97" s="4"/>
      <c r="V97" s="4"/>
      <c r="W97" s="4"/>
      <c r="X97" s="4"/>
    </row>
    <row r="98" spans="18:24" x14ac:dyDescent="0.25">
      <c r="R98" s="3"/>
      <c r="S98" s="2"/>
      <c r="T98" s="3"/>
      <c r="U98" s="4"/>
      <c r="V98" s="4"/>
      <c r="W98" s="4"/>
      <c r="X98" s="4"/>
    </row>
    <row r="99" spans="18:24" x14ac:dyDescent="0.25">
      <c r="R99" s="3"/>
      <c r="S99" s="2"/>
      <c r="T99" s="3"/>
      <c r="U99" s="4"/>
      <c r="V99" s="4"/>
      <c r="W99" s="4"/>
      <c r="X99" s="4"/>
    </row>
    <row r="100" spans="18:24" x14ac:dyDescent="0.25">
      <c r="R100" s="3"/>
      <c r="S100" s="2"/>
      <c r="T100" s="3"/>
      <c r="U100" s="4"/>
      <c r="V100" s="4"/>
      <c r="W100" s="4"/>
      <c r="X100" s="4"/>
    </row>
    <row r="101" spans="18:24" x14ac:dyDescent="0.25">
      <c r="R101" s="3"/>
      <c r="S101" s="2"/>
      <c r="T101" s="3"/>
      <c r="U101" s="4"/>
      <c r="V101" s="4"/>
      <c r="W101" s="4"/>
      <c r="X101" s="4"/>
    </row>
    <row r="102" spans="18:24" x14ac:dyDescent="0.25">
      <c r="R102" s="3"/>
      <c r="S102" s="2"/>
      <c r="T102" s="3"/>
      <c r="U102" s="4"/>
      <c r="V102" s="4"/>
      <c r="W102" s="4"/>
      <c r="X102" s="4"/>
    </row>
    <row r="103" spans="18:24" x14ac:dyDescent="0.25">
      <c r="R103" s="3"/>
      <c r="S103" s="2"/>
      <c r="T103" s="3"/>
      <c r="U103" s="4"/>
      <c r="V103" s="4"/>
      <c r="W103" s="4"/>
      <c r="X103" s="4"/>
    </row>
    <row r="104" spans="18:24" x14ac:dyDescent="0.25">
      <c r="R104" s="3"/>
      <c r="S104" s="2"/>
      <c r="T104" s="3"/>
      <c r="U104" s="4"/>
      <c r="V104" s="4"/>
      <c r="W104" s="4"/>
      <c r="X104" s="4"/>
    </row>
    <row r="105" spans="18:24" x14ac:dyDescent="0.25">
      <c r="R105" s="3"/>
      <c r="S105" s="2"/>
      <c r="T105" s="3"/>
      <c r="U105" s="4"/>
      <c r="V105" s="4"/>
      <c r="W105" s="4"/>
      <c r="X105" s="4"/>
    </row>
    <row r="106" spans="18:24" x14ac:dyDescent="0.25">
      <c r="R106" s="3"/>
      <c r="S106" s="2"/>
      <c r="T106" s="3"/>
      <c r="U106" s="4"/>
      <c r="V106" s="4"/>
      <c r="W106" s="4"/>
      <c r="X106" s="4"/>
    </row>
    <row r="107" spans="18:24" x14ac:dyDescent="0.25">
      <c r="R107" s="3"/>
      <c r="S107" s="2"/>
      <c r="T107" s="3"/>
      <c r="U107" s="4"/>
      <c r="V107" s="4"/>
      <c r="W107" s="4"/>
      <c r="X107" s="4"/>
    </row>
    <row r="108" spans="18:24" x14ac:dyDescent="0.25">
      <c r="R108" s="3"/>
      <c r="S108" s="2"/>
      <c r="T108" s="3"/>
      <c r="U108" s="4"/>
      <c r="V108" s="4"/>
      <c r="W108" s="4"/>
      <c r="X108" s="4"/>
    </row>
    <row r="109" spans="18:24" x14ac:dyDescent="0.25">
      <c r="R109" s="3"/>
      <c r="S109" s="2"/>
      <c r="T109" s="3"/>
      <c r="U109" s="4"/>
      <c r="V109" s="4"/>
      <c r="W109" s="4"/>
      <c r="X109" s="4"/>
    </row>
    <row r="110" spans="18:24" x14ac:dyDescent="0.25">
      <c r="R110" s="3"/>
      <c r="S110" s="2"/>
      <c r="T110" s="3"/>
      <c r="U110" s="4"/>
      <c r="V110" s="4"/>
      <c r="W110" s="4"/>
      <c r="X110" s="4"/>
    </row>
    <row r="111" spans="18:24" x14ac:dyDescent="0.25">
      <c r="R111" s="3"/>
      <c r="S111" s="2"/>
      <c r="T111" s="3"/>
      <c r="U111" s="4"/>
      <c r="V111" s="4"/>
      <c r="W111" s="4"/>
      <c r="X111" s="4"/>
    </row>
    <row r="112" spans="18:24" x14ac:dyDescent="0.25">
      <c r="R112" s="3"/>
      <c r="S112" s="2"/>
      <c r="T112" s="3"/>
      <c r="U112" s="4"/>
      <c r="V112" s="4"/>
      <c r="W112" s="4"/>
      <c r="X112" s="4"/>
    </row>
    <row r="113" spans="18:24" x14ac:dyDescent="0.25">
      <c r="R113" s="3"/>
      <c r="S113" s="2"/>
      <c r="T113" s="3"/>
      <c r="U113" s="4"/>
      <c r="V113" s="4"/>
      <c r="W113" s="4"/>
      <c r="X113" s="4"/>
    </row>
    <row r="114" spans="18:24" x14ac:dyDescent="0.25">
      <c r="R114" s="3"/>
      <c r="S114" s="2"/>
      <c r="T114" s="3"/>
      <c r="U114" s="4"/>
      <c r="V114" s="4"/>
      <c r="W114" s="4"/>
      <c r="X114" s="4"/>
    </row>
    <row r="115" spans="18:24" x14ac:dyDescent="0.25">
      <c r="R115" s="3"/>
      <c r="S115" s="2"/>
      <c r="T115" s="3"/>
      <c r="U115" s="4"/>
      <c r="V115" s="4"/>
      <c r="W115" s="4"/>
      <c r="X115" s="4"/>
    </row>
    <row r="116" spans="18:24" x14ac:dyDescent="0.25">
      <c r="R116" s="3"/>
      <c r="S116" s="2"/>
      <c r="T116" s="3"/>
      <c r="U116" s="4"/>
      <c r="V116" s="4"/>
      <c r="W116" s="4"/>
      <c r="X116" s="4"/>
    </row>
    <row r="117" spans="18:24" x14ac:dyDescent="0.25">
      <c r="R117" s="3"/>
      <c r="S117" s="2"/>
      <c r="T117" s="3"/>
      <c r="U117" s="4"/>
      <c r="V117" s="4"/>
      <c r="W117" s="4"/>
      <c r="X117" s="4"/>
    </row>
    <row r="118" spans="18:24" x14ac:dyDescent="0.25">
      <c r="R118" s="3"/>
      <c r="S118" s="3"/>
      <c r="T118" s="3"/>
      <c r="U118" s="3"/>
      <c r="V118" s="3"/>
      <c r="W118" s="3"/>
      <c r="X118" s="3"/>
    </row>
    <row r="119" spans="18:24" x14ac:dyDescent="0.25">
      <c r="R119" s="3"/>
      <c r="S119" s="3"/>
      <c r="T119" s="3"/>
      <c r="U119" s="3"/>
      <c r="V119" s="3"/>
      <c r="W119" s="3"/>
      <c r="X119" s="3"/>
    </row>
    <row r="120" spans="18:24" x14ac:dyDescent="0.25">
      <c r="R120" s="3"/>
      <c r="S120" s="3"/>
      <c r="T120" s="3"/>
      <c r="U120" s="3"/>
      <c r="V120" s="3"/>
      <c r="W120" s="3"/>
      <c r="X120" s="3"/>
    </row>
    <row r="121" spans="18:24" x14ac:dyDescent="0.25">
      <c r="R121" s="3"/>
      <c r="S121" s="3"/>
      <c r="T121" s="3"/>
      <c r="U121" s="3"/>
      <c r="V121" s="3"/>
      <c r="W121" s="3"/>
      <c r="X121" s="3"/>
    </row>
    <row r="122" spans="18:24" x14ac:dyDescent="0.25">
      <c r="R122" s="3"/>
      <c r="S122" s="3"/>
      <c r="T122" s="3"/>
      <c r="U122" s="3"/>
      <c r="V122" s="3"/>
      <c r="W122" s="3"/>
      <c r="X122" s="3"/>
    </row>
    <row r="123" spans="18:24" x14ac:dyDescent="0.25">
      <c r="R123" s="3"/>
      <c r="S123" s="3"/>
      <c r="T123" s="3"/>
      <c r="U123" s="3"/>
      <c r="V123" s="3"/>
      <c r="W123" s="3"/>
      <c r="X123" s="3"/>
    </row>
    <row r="124" spans="18:24" x14ac:dyDescent="0.25">
      <c r="R124" s="3"/>
      <c r="S124" s="3"/>
      <c r="T124" s="3"/>
      <c r="U124" s="3"/>
      <c r="V124" s="3"/>
      <c r="W124" s="3"/>
      <c r="X124" s="3"/>
    </row>
    <row r="125" spans="18:24" x14ac:dyDescent="0.25">
      <c r="R125" s="3"/>
      <c r="S125" s="3"/>
      <c r="T125" s="3"/>
      <c r="U125" s="3"/>
      <c r="V125" s="3"/>
      <c r="W125" s="3"/>
      <c r="X125" s="3"/>
    </row>
    <row r="126" spans="18:24" x14ac:dyDescent="0.25">
      <c r="R126" s="3"/>
      <c r="S126" s="3"/>
      <c r="T126" s="3"/>
      <c r="U126" s="3"/>
      <c r="V126" s="3"/>
      <c r="W126" s="3"/>
      <c r="X126" s="3"/>
    </row>
    <row r="127" spans="18:24" x14ac:dyDescent="0.25">
      <c r="R127" s="3"/>
      <c r="S127" s="3"/>
      <c r="T127" s="3"/>
      <c r="U127" s="3"/>
      <c r="V127" s="3"/>
      <c r="W127" s="3"/>
      <c r="X127" s="3"/>
    </row>
    <row r="128" spans="18:24" x14ac:dyDescent="0.25">
      <c r="R128" s="3"/>
      <c r="S128" s="3"/>
      <c r="T128" s="3"/>
      <c r="U128" s="3"/>
      <c r="V128" s="3"/>
      <c r="W128" s="3"/>
      <c r="X128" s="3"/>
    </row>
    <row r="129" spans="18:24" x14ac:dyDescent="0.25">
      <c r="R129" s="3"/>
      <c r="S129" s="3"/>
      <c r="T129" s="3"/>
      <c r="U129" s="3"/>
      <c r="V129" s="3"/>
      <c r="W129" s="3"/>
      <c r="X129" s="3"/>
    </row>
    <row r="130" spans="18:24" x14ac:dyDescent="0.25">
      <c r="R130" s="3"/>
      <c r="S130" s="3"/>
      <c r="T130" s="3"/>
      <c r="U130" s="3"/>
      <c r="V130" s="3"/>
      <c r="W130" s="3"/>
      <c r="X130" s="3"/>
    </row>
    <row r="131" spans="18:24" x14ac:dyDescent="0.25">
      <c r="R131" s="3"/>
      <c r="S131" s="3"/>
      <c r="T131" s="3"/>
      <c r="U131" s="3"/>
      <c r="V131" s="3"/>
      <c r="W131" s="3"/>
      <c r="X131" s="3"/>
    </row>
    <row r="132" spans="18:24" x14ac:dyDescent="0.25">
      <c r="R132" s="3"/>
      <c r="S132" s="3"/>
      <c r="T132" s="3"/>
      <c r="U132" s="3"/>
      <c r="V132" s="3"/>
      <c r="W132" s="3"/>
      <c r="X132" s="3"/>
    </row>
    <row r="133" spans="18:24" x14ac:dyDescent="0.25">
      <c r="R133" s="3"/>
      <c r="S133" s="3"/>
      <c r="T133" s="3"/>
      <c r="U133" s="3"/>
      <c r="V133" s="3"/>
      <c r="W133" s="3"/>
      <c r="X133" s="3"/>
    </row>
    <row r="134" spans="18:24" x14ac:dyDescent="0.25">
      <c r="R134" s="3"/>
      <c r="S134" s="3"/>
      <c r="T134" s="3"/>
      <c r="U134" s="3"/>
      <c r="V134" s="3"/>
      <c r="W134" s="3"/>
      <c r="X134" s="3"/>
    </row>
    <row r="135" spans="18:24" x14ac:dyDescent="0.25">
      <c r="R135" s="3"/>
      <c r="S135" s="3"/>
      <c r="T135" s="3"/>
      <c r="U135" s="3"/>
      <c r="V135" s="3"/>
      <c r="W135" s="3"/>
      <c r="X135" s="3"/>
    </row>
    <row r="136" spans="18:24" x14ac:dyDescent="0.25">
      <c r="R136" s="3"/>
      <c r="S136" s="3"/>
      <c r="T136" s="3"/>
      <c r="U136" s="3"/>
      <c r="V136" s="3"/>
      <c r="W136" s="3"/>
      <c r="X136" s="3"/>
    </row>
    <row r="137" spans="18:24" x14ac:dyDescent="0.25">
      <c r="R137" s="3"/>
      <c r="S137" s="3"/>
      <c r="T137" s="3"/>
      <c r="U137" s="3"/>
      <c r="V137" s="3"/>
      <c r="W137" s="3"/>
      <c r="X137" s="3"/>
    </row>
    <row r="138" spans="18:24" x14ac:dyDescent="0.25">
      <c r="R138" s="3"/>
      <c r="S138" s="3"/>
      <c r="T138" s="3"/>
      <c r="U138" s="3"/>
      <c r="V138" s="3"/>
      <c r="W138" s="3"/>
      <c r="X138" s="3"/>
    </row>
    <row r="139" spans="18:24" x14ac:dyDescent="0.25">
      <c r="R139" s="3"/>
      <c r="S139" s="3"/>
      <c r="T139" s="3"/>
      <c r="U139" s="3"/>
      <c r="V139" s="3"/>
      <c r="W139" s="3"/>
      <c r="X139" s="3"/>
    </row>
    <row r="140" spans="18:24" x14ac:dyDescent="0.25">
      <c r="R140" s="3"/>
      <c r="S140" s="3"/>
      <c r="T140" s="3"/>
      <c r="U140" s="3"/>
      <c r="V140" s="3"/>
      <c r="W140" s="3"/>
      <c r="X140" s="3"/>
    </row>
    <row r="141" spans="18:24" x14ac:dyDescent="0.25">
      <c r="R141" s="3"/>
      <c r="S141" s="3"/>
      <c r="T141" s="3"/>
      <c r="U141" s="3"/>
      <c r="V141" s="3"/>
      <c r="W141" s="3"/>
      <c r="X141" s="3"/>
    </row>
    <row r="142" spans="18:24" x14ac:dyDescent="0.25">
      <c r="R142" s="3"/>
      <c r="S142" s="3"/>
      <c r="T142" s="3"/>
      <c r="U142" s="3"/>
      <c r="V142" s="3"/>
      <c r="W142" s="3"/>
      <c r="X142" s="3"/>
    </row>
    <row r="143" spans="18:24" x14ac:dyDescent="0.25">
      <c r="R143" s="3"/>
      <c r="S143" s="3"/>
      <c r="T143" s="3"/>
      <c r="U143" s="3"/>
      <c r="V143" s="3"/>
      <c r="W143" s="3"/>
      <c r="X143" s="3"/>
    </row>
    <row r="144" spans="18:24" x14ac:dyDescent="0.25">
      <c r="R144" s="3"/>
      <c r="S144" s="3"/>
      <c r="T144" s="3"/>
      <c r="U144" s="3"/>
      <c r="V144" s="3"/>
      <c r="W144" s="3"/>
      <c r="X144" s="3"/>
    </row>
    <row r="145" spans="18:24" x14ac:dyDescent="0.25">
      <c r="R145" s="3"/>
      <c r="S145" s="3"/>
      <c r="T145" s="3"/>
      <c r="U145" s="3"/>
      <c r="V145" s="3"/>
      <c r="W145" s="3"/>
      <c r="X145" s="3"/>
    </row>
    <row r="146" spans="18:24" x14ac:dyDescent="0.25">
      <c r="R146" s="3"/>
      <c r="S146" s="3"/>
      <c r="T146" s="3"/>
      <c r="U146" s="3"/>
      <c r="V146" s="3"/>
      <c r="W146" s="3"/>
      <c r="X146" s="3"/>
    </row>
    <row r="147" spans="18:24" x14ac:dyDescent="0.25">
      <c r="R147" s="3"/>
      <c r="S147" s="3"/>
      <c r="T147" s="3"/>
      <c r="U147" s="3"/>
      <c r="V147" s="3"/>
      <c r="W147" s="3"/>
      <c r="X147" s="3"/>
    </row>
    <row r="148" spans="18:24" x14ac:dyDescent="0.25">
      <c r="R148" s="3"/>
      <c r="S148" s="3"/>
      <c r="T148" s="3"/>
      <c r="U148" s="3"/>
      <c r="V148" s="3"/>
      <c r="W148" s="3"/>
      <c r="X148" s="3"/>
    </row>
    <row r="149" spans="18:24" x14ac:dyDescent="0.25">
      <c r="R149" s="3"/>
      <c r="S149" s="3"/>
      <c r="T149" s="3"/>
      <c r="U149" s="3"/>
      <c r="V149" s="3"/>
      <c r="W149" s="3"/>
      <c r="X149" s="3"/>
    </row>
    <row r="150" spans="18:24" x14ac:dyDescent="0.25">
      <c r="R150" s="3"/>
      <c r="S150" s="3"/>
      <c r="T150" s="3"/>
      <c r="U150" s="3"/>
      <c r="V150" s="3"/>
      <c r="W150" s="3"/>
      <c r="X150" s="3"/>
    </row>
    <row r="151" spans="18:24" x14ac:dyDescent="0.25">
      <c r="R151" s="3"/>
      <c r="S151" s="3"/>
      <c r="T151" s="3"/>
      <c r="U151" s="3"/>
      <c r="V151" s="3"/>
      <c r="W151" s="3"/>
      <c r="X151" s="3"/>
    </row>
    <row r="152" spans="18:24" x14ac:dyDescent="0.25">
      <c r="R152" s="3"/>
      <c r="S152" s="3"/>
      <c r="T152" s="3"/>
      <c r="U152" s="3"/>
      <c r="V152" s="3"/>
      <c r="W152" s="3"/>
      <c r="X152" s="3"/>
    </row>
    <row r="153" spans="18:24" x14ac:dyDescent="0.25">
      <c r="R153" s="3"/>
      <c r="S153" s="3"/>
      <c r="T153" s="3"/>
      <c r="U153" s="3"/>
      <c r="V153" s="3"/>
      <c r="W153" s="3"/>
      <c r="X153" s="3"/>
    </row>
    <row r="154" spans="18:24" x14ac:dyDescent="0.25">
      <c r="R154" s="3"/>
      <c r="S154" s="3"/>
      <c r="T154" s="3"/>
      <c r="U154" s="3"/>
      <c r="V154" s="3"/>
      <c r="W154" s="3"/>
      <c r="X154" s="3"/>
    </row>
    <row r="155" spans="18:24" x14ac:dyDescent="0.25">
      <c r="R155" s="3"/>
      <c r="S155" s="3"/>
      <c r="T155" s="3"/>
      <c r="U155" s="3"/>
      <c r="V155" s="3"/>
      <c r="W155" s="3"/>
      <c r="X155" s="3"/>
    </row>
    <row r="156" spans="18:24" x14ac:dyDescent="0.25">
      <c r="R156" s="3"/>
      <c r="S156" s="3"/>
      <c r="T156" s="3"/>
      <c r="U156" s="3"/>
      <c r="V156" s="3"/>
      <c r="W156" s="3"/>
      <c r="X156" s="3"/>
    </row>
    <row r="157" spans="18:24" x14ac:dyDescent="0.25">
      <c r="R157" s="3"/>
      <c r="S157" s="3"/>
      <c r="T157" s="3"/>
      <c r="U157" s="3"/>
      <c r="V157" s="3"/>
      <c r="W157" s="3"/>
      <c r="X157" s="3"/>
    </row>
    <row r="158" spans="18:24" x14ac:dyDescent="0.25">
      <c r="R158" s="3"/>
      <c r="S158" s="3"/>
      <c r="T158" s="3"/>
      <c r="U158" s="3"/>
      <c r="V158" s="3"/>
      <c r="W158" s="3"/>
      <c r="X158" s="3"/>
    </row>
    <row r="159" spans="18:24" x14ac:dyDescent="0.25">
      <c r="R159" s="3"/>
      <c r="S159" s="3"/>
      <c r="T159" s="3"/>
      <c r="U159" s="3"/>
      <c r="V159" s="3"/>
      <c r="W159" s="3"/>
      <c r="X159" s="3"/>
    </row>
    <row r="160" spans="18:24" x14ac:dyDescent="0.25">
      <c r="R160" s="3"/>
      <c r="S160" s="3"/>
      <c r="T160" s="3"/>
      <c r="U160" s="3"/>
      <c r="V160" s="3"/>
      <c r="W160" s="3"/>
      <c r="X160" s="3"/>
    </row>
    <row r="161" spans="18:24" x14ac:dyDescent="0.25">
      <c r="R161" s="3"/>
      <c r="S161" s="3"/>
      <c r="T161" s="3"/>
      <c r="U161" s="3"/>
      <c r="V161" s="3"/>
      <c r="W161" s="3"/>
      <c r="X161" s="3"/>
    </row>
    <row r="162" spans="18:24" x14ac:dyDescent="0.25">
      <c r="R162" s="3"/>
      <c r="S162" s="3"/>
      <c r="T162" s="3"/>
      <c r="U162" s="3"/>
      <c r="V162" s="3"/>
      <c r="W162" s="3"/>
      <c r="X162" s="3"/>
    </row>
    <row r="163" spans="18:24" x14ac:dyDescent="0.25">
      <c r="R163" s="3"/>
      <c r="S163" s="3"/>
      <c r="T163" s="3"/>
      <c r="U163" s="3"/>
      <c r="V163" s="3"/>
      <c r="W163" s="3"/>
      <c r="X163" s="3"/>
    </row>
    <row r="164" spans="18:24" x14ac:dyDescent="0.25">
      <c r="R164" s="3"/>
      <c r="S164" s="3"/>
      <c r="T164" s="3"/>
      <c r="U164" s="3"/>
      <c r="V164" s="3"/>
      <c r="W164" s="3"/>
      <c r="X164" s="3"/>
    </row>
    <row r="165" spans="18:24" x14ac:dyDescent="0.25">
      <c r="R165" s="3"/>
      <c r="S165" s="3"/>
      <c r="T165" s="3"/>
      <c r="U165" s="3"/>
      <c r="V165" s="3"/>
      <c r="W165" s="3"/>
      <c r="X165" s="3"/>
    </row>
    <row r="166" spans="18:24" x14ac:dyDescent="0.25">
      <c r="R166" s="3"/>
      <c r="S166" s="3"/>
      <c r="T166" s="3"/>
      <c r="U166" s="3"/>
      <c r="V166" s="3"/>
      <c r="W166" s="3"/>
      <c r="X166" s="3"/>
    </row>
    <row r="167" spans="18:24" x14ac:dyDescent="0.25">
      <c r="R167" s="3"/>
      <c r="S167" s="3"/>
      <c r="T167" s="3"/>
      <c r="U167" s="3"/>
      <c r="V167" s="3"/>
      <c r="W167" s="3"/>
      <c r="X167" s="3"/>
    </row>
    <row r="168" spans="18:24" x14ac:dyDescent="0.25">
      <c r="R168" s="3"/>
      <c r="S168" s="3"/>
      <c r="T168" s="3"/>
      <c r="U168" s="3"/>
      <c r="V168" s="3"/>
      <c r="W168" s="3"/>
      <c r="X168" s="3"/>
    </row>
    <row r="169" spans="18:24" x14ac:dyDescent="0.25">
      <c r="R169" s="3"/>
      <c r="S169" s="3"/>
      <c r="T169" s="3"/>
      <c r="U169" s="3"/>
      <c r="V169" s="3"/>
      <c r="W169" s="3"/>
      <c r="X169" s="3"/>
    </row>
    <row r="170" spans="18:24" x14ac:dyDescent="0.25">
      <c r="R170" s="3"/>
      <c r="S170" s="3"/>
      <c r="T170" s="3"/>
      <c r="U170" s="3"/>
      <c r="V170" s="3"/>
      <c r="W170" s="3"/>
      <c r="X170" s="3"/>
    </row>
    <row r="171" spans="18:24" x14ac:dyDescent="0.25">
      <c r="R171" s="3"/>
      <c r="S171" s="3"/>
      <c r="T171" s="3"/>
      <c r="U171" s="3"/>
      <c r="V171" s="3"/>
      <c r="W171" s="3"/>
      <c r="X171" s="3"/>
    </row>
    <row r="172" spans="18:24" x14ac:dyDescent="0.25">
      <c r="R172" s="3"/>
      <c r="S172" s="3"/>
      <c r="T172" s="3"/>
      <c r="U172" s="3"/>
      <c r="V172" s="3"/>
      <c r="W172" s="3"/>
      <c r="X172" s="3"/>
    </row>
    <row r="173" spans="18:24" x14ac:dyDescent="0.25">
      <c r="R173" s="3"/>
      <c r="S173" s="3"/>
      <c r="T173" s="3"/>
      <c r="U173" s="3"/>
      <c r="V173" s="3"/>
      <c r="W173" s="3"/>
      <c r="X173" s="3"/>
    </row>
    <row r="174" spans="18:24" x14ac:dyDescent="0.25">
      <c r="R174" s="3"/>
      <c r="S174" s="3"/>
      <c r="T174" s="3"/>
      <c r="U174" s="3"/>
      <c r="V174" s="3"/>
      <c r="W174" s="3"/>
      <c r="X174" s="3"/>
    </row>
    <row r="175" spans="18:24" x14ac:dyDescent="0.25">
      <c r="R175" s="3"/>
      <c r="S175" s="3"/>
      <c r="T175" s="3"/>
      <c r="U175" s="3"/>
      <c r="V175" s="3"/>
      <c r="W175" s="3"/>
      <c r="X175" s="3"/>
    </row>
    <row r="176" spans="18:24" x14ac:dyDescent="0.25">
      <c r="R176" s="3"/>
      <c r="S176" s="3"/>
      <c r="T176" s="3"/>
      <c r="U176" s="3"/>
      <c r="V176" s="3"/>
      <c r="W176" s="3"/>
      <c r="X176" s="3"/>
    </row>
    <row r="177" spans="18:24" x14ac:dyDescent="0.25">
      <c r="R177" s="3"/>
      <c r="S177" s="3"/>
      <c r="T177" s="3"/>
      <c r="U177" s="3"/>
      <c r="V177" s="3"/>
      <c r="W177" s="3"/>
      <c r="X177" s="3"/>
    </row>
    <row r="178" spans="18:24" x14ac:dyDescent="0.25">
      <c r="R178" s="3"/>
      <c r="S178" s="3"/>
      <c r="T178" s="3"/>
      <c r="U178" s="3"/>
      <c r="V178" s="3"/>
      <c r="W178" s="3"/>
      <c r="X178" s="3"/>
    </row>
    <row r="179" spans="18:24" x14ac:dyDescent="0.25">
      <c r="R179" s="3"/>
      <c r="S179" s="3"/>
      <c r="T179" s="3"/>
      <c r="U179" s="3"/>
      <c r="V179" s="3"/>
      <c r="W179" s="3"/>
      <c r="X179" s="3"/>
    </row>
    <row r="180" spans="18:24" x14ac:dyDescent="0.25">
      <c r="R180" s="3"/>
      <c r="S180" s="3"/>
      <c r="T180" s="3"/>
      <c r="U180" s="3"/>
      <c r="V180" s="3"/>
      <c r="W180" s="3"/>
      <c r="X180" s="3"/>
    </row>
    <row r="181" spans="18:24" x14ac:dyDescent="0.25">
      <c r="R181" s="3"/>
      <c r="S181" s="3"/>
      <c r="T181" s="3"/>
      <c r="U181" s="3"/>
      <c r="V181" s="3"/>
      <c r="W181" s="3"/>
      <c r="X181" s="3"/>
    </row>
    <row r="182" spans="18:24" x14ac:dyDescent="0.25">
      <c r="R182" s="3"/>
      <c r="S182" s="3"/>
      <c r="T182" s="3"/>
      <c r="U182" s="3"/>
      <c r="V182" s="3"/>
      <c r="W182" s="3"/>
      <c r="X182" s="3"/>
    </row>
    <row r="183" spans="18:24" x14ac:dyDescent="0.25">
      <c r="R183" s="3"/>
      <c r="S183" s="3"/>
      <c r="T183" s="3"/>
      <c r="U183" s="3"/>
      <c r="V183" s="3"/>
      <c r="W183" s="3"/>
      <c r="X183" s="3"/>
    </row>
    <row r="184" spans="18:24" x14ac:dyDescent="0.25">
      <c r="R184" s="3"/>
      <c r="S184" s="3"/>
      <c r="T184" s="3"/>
      <c r="U184" s="3"/>
      <c r="V184" s="3"/>
      <c r="W184" s="3"/>
      <c r="X184" s="3"/>
    </row>
    <row r="185" spans="18:24" x14ac:dyDescent="0.25">
      <c r="R185" s="3"/>
      <c r="S185" s="3"/>
      <c r="T185" s="3"/>
      <c r="U185" s="3"/>
      <c r="V185" s="3"/>
      <c r="W185" s="3"/>
      <c r="X185" s="3"/>
    </row>
    <row r="186" spans="18:24" x14ac:dyDescent="0.25">
      <c r="R186" s="3"/>
      <c r="S186" s="3"/>
      <c r="T186" s="3"/>
      <c r="U186" s="3"/>
      <c r="V186" s="3"/>
      <c r="W186" s="3"/>
      <c r="X186" s="3"/>
    </row>
    <row r="187" spans="18:24" x14ac:dyDescent="0.25">
      <c r="R187" s="3"/>
      <c r="S187" s="3"/>
      <c r="T187" s="3"/>
      <c r="U187" s="3"/>
      <c r="V187" s="3"/>
      <c r="W187" s="3"/>
      <c r="X187" s="3"/>
    </row>
    <row r="188" spans="18:24" x14ac:dyDescent="0.25">
      <c r="R188" s="3"/>
      <c r="S188" s="3"/>
      <c r="T188" s="3"/>
      <c r="U188" s="3"/>
      <c r="V188" s="3"/>
      <c r="W188" s="3"/>
      <c r="X188" s="3"/>
    </row>
    <row r="189" spans="18:24" x14ac:dyDescent="0.25">
      <c r="R189" s="3"/>
      <c r="S189" s="3"/>
      <c r="T189" s="3"/>
      <c r="U189" s="3"/>
      <c r="V189" s="3"/>
      <c r="W189" s="3"/>
      <c r="X189" s="3"/>
    </row>
    <row r="190" spans="18:24" x14ac:dyDescent="0.25">
      <c r="R190" s="3"/>
      <c r="S190" s="3"/>
      <c r="T190" s="3"/>
      <c r="U190" s="3"/>
      <c r="V190" s="3"/>
      <c r="W190" s="3"/>
      <c r="X190" s="3"/>
    </row>
    <row r="191" spans="18:24" x14ac:dyDescent="0.25">
      <c r="R191" s="3"/>
      <c r="S191" s="3"/>
      <c r="T191" s="3"/>
      <c r="U191" s="3"/>
      <c r="V191" s="3"/>
      <c r="W191" s="3"/>
      <c r="X191" s="3"/>
    </row>
    <row r="192" spans="18:24" x14ac:dyDescent="0.25">
      <c r="R192" s="3"/>
      <c r="S192" s="3"/>
      <c r="T192" s="3"/>
      <c r="U192" s="3"/>
      <c r="V192" s="3"/>
      <c r="W192" s="3"/>
      <c r="X192" s="3"/>
    </row>
    <row r="193" spans="18:24" x14ac:dyDescent="0.25">
      <c r="R193" s="3"/>
      <c r="S193" s="3"/>
      <c r="T193" s="3"/>
      <c r="U193" s="3"/>
      <c r="V193" s="3"/>
      <c r="W193" s="3"/>
      <c r="X193" s="3"/>
    </row>
    <row r="194" spans="18:24" x14ac:dyDescent="0.25">
      <c r="R194" s="3"/>
      <c r="S194" s="3"/>
      <c r="T194" s="3"/>
      <c r="U194" s="3"/>
      <c r="V194" s="3"/>
      <c r="W194" s="3"/>
      <c r="X194" s="3"/>
    </row>
    <row r="195" spans="18:24" x14ac:dyDescent="0.25">
      <c r="R195" s="3"/>
      <c r="S195" s="3"/>
      <c r="T195" s="3"/>
      <c r="U195" s="3"/>
      <c r="V195" s="3"/>
      <c r="W195" s="3"/>
      <c r="X195" s="3"/>
    </row>
    <row r="196" spans="18:24" x14ac:dyDescent="0.25">
      <c r="R196" s="3"/>
      <c r="S196" s="3"/>
      <c r="T196" s="3"/>
      <c r="U196" s="3"/>
      <c r="V196" s="3"/>
      <c r="W196" s="3"/>
      <c r="X196" s="3"/>
    </row>
    <row r="197" spans="18:24" x14ac:dyDescent="0.25">
      <c r="R197" s="3"/>
      <c r="S197" s="3"/>
      <c r="T197" s="3"/>
      <c r="U197" s="3"/>
      <c r="V197" s="3"/>
      <c r="W197" s="3"/>
      <c r="X197" s="3"/>
    </row>
    <row r="198" spans="18:24" x14ac:dyDescent="0.25">
      <c r="R198" s="3"/>
      <c r="S198" s="3"/>
      <c r="T198" s="3"/>
      <c r="U198" s="3"/>
      <c r="V198" s="3"/>
      <c r="W198" s="3"/>
      <c r="X198" s="3"/>
    </row>
    <row r="199" spans="18:24" x14ac:dyDescent="0.25">
      <c r="R199" s="3"/>
      <c r="S199" s="3"/>
      <c r="T199" s="3"/>
      <c r="U199" s="3"/>
      <c r="V199" s="3"/>
      <c r="W199" s="3"/>
      <c r="X199" s="3"/>
    </row>
    <row r="200" spans="18:24" x14ac:dyDescent="0.25">
      <c r="R200" s="3"/>
      <c r="S200" s="3"/>
      <c r="T200" s="3"/>
      <c r="U200" s="3"/>
      <c r="V200" s="3"/>
      <c r="W200" s="3"/>
      <c r="X200" s="3"/>
    </row>
    <row r="201" spans="18:24" x14ac:dyDescent="0.25">
      <c r="R201" s="3"/>
      <c r="S201" s="3"/>
      <c r="T201" s="3"/>
      <c r="U201" s="3"/>
      <c r="V201" s="3"/>
      <c r="W201" s="3"/>
      <c r="X201" s="3"/>
    </row>
    <row r="202" spans="18:24" x14ac:dyDescent="0.25">
      <c r="R202" s="3"/>
      <c r="S202" s="3"/>
      <c r="T202" s="3"/>
      <c r="U202" s="3"/>
      <c r="V202" s="3"/>
      <c r="W202" s="3"/>
      <c r="X202" s="3"/>
    </row>
    <row r="203" spans="18:24" x14ac:dyDescent="0.25">
      <c r="R203" s="3"/>
      <c r="S203" s="3"/>
      <c r="T203" s="3"/>
      <c r="U203" s="3"/>
      <c r="V203" s="3"/>
      <c r="W203" s="3"/>
      <c r="X203" s="3"/>
    </row>
    <row r="204" spans="18:24" x14ac:dyDescent="0.25">
      <c r="R204" s="3"/>
      <c r="S204" s="3"/>
      <c r="T204" s="3"/>
      <c r="U204" s="3"/>
      <c r="V204" s="3"/>
      <c r="W204" s="3"/>
      <c r="X204" s="3"/>
    </row>
    <row r="205" spans="18:24" x14ac:dyDescent="0.25">
      <c r="R205" s="3"/>
      <c r="S205" s="3"/>
      <c r="T205" s="3"/>
      <c r="U205" s="3"/>
      <c r="V205" s="3"/>
      <c r="W205" s="3"/>
      <c r="X205" s="3"/>
    </row>
    <row r="206" spans="18:24" x14ac:dyDescent="0.25">
      <c r="R206" s="3"/>
      <c r="S206" s="3"/>
      <c r="T206" s="3"/>
      <c r="U206" s="3"/>
      <c r="V206" s="3"/>
      <c r="W206" s="3"/>
      <c r="X206" s="3"/>
    </row>
    <row r="207" spans="18:24" x14ac:dyDescent="0.25">
      <c r="R207" s="3"/>
      <c r="S207" s="3"/>
      <c r="T207" s="3"/>
      <c r="U207" s="3"/>
      <c r="V207" s="3"/>
      <c r="W207" s="3"/>
      <c r="X207" s="3"/>
    </row>
    <row r="208" spans="18:24" x14ac:dyDescent="0.25">
      <c r="R208" s="3"/>
      <c r="S208" s="3"/>
      <c r="T208" s="3"/>
      <c r="U208" s="3"/>
      <c r="V208" s="3"/>
      <c r="W208" s="3"/>
      <c r="X208" s="3"/>
    </row>
    <row r="209" spans="18:24" x14ac:dyDescent="0.25">
      <c r="R209" s="3"/>
      <c r="S209" s="3"/>
      <c r="T209" s="3"/>
      <c r="U209" s="3"/>
      <c r="V209" s="3"/>
      <c r="W209" s="3"/>
      <c r="X209" s="3"/>
    </row>
    <row r="210" spans="18:24" x14ac:dyDescent="0.25">
      <c r="R210" s="3"/>
      <c r="S210" s="3"/>
      <c r="T210" s="3"/>
      <c r="U210" s="3"/>
      <c r="V210" s="3"/>
      <c r="W210" s="3"/>
      <c r="X210" s="3"/>
    </row>
    <row r="211" spans="18:24" x14ac:dyDescent="0.25">
      <c r="R211" s="3"/>
      <c r="S211" s="3"/>
      <c r="T211" s="3"/>
      <c r="U211" s="3"/>
      <c r="V211" s="3"/>
      <c r="W211" s="3"/>
      <c r="X211" s="3"/>
    </row>
    <row r="212" spans="18:24" x14ac:dyDescent="0.25">
      <c r="R212" s="3"/>
      <c r="S212" s="3"/>
      <c r="T212" s="3"/>
      <c r="U212" s="3"/>
      <c r="V212" s="3"/>
      <c r="W212" s="3"/>
      <c r="X212" s="3"/>
    </row>
    <row r="213" spans="18:24" x14ac:dyDescent="0.25">
      <c r="R213" s="3"/>
      <c r="S213" s="3"/>
      <c r="T213" s="3"/>
      <c r="U213" s="3"/>
      <c r="V213" s="3"/>
      <c r="W213" s="3"/>
      <c r="X213" s="3"/>
    </row>
    <row r="214" spans="18:24" x14ac:dyDescent="0.25">
      <c r="R214" s="3"/>
      <c r="S214" s="3"/>
      <c r="T214" s="3"/>
      <c r="U214" s="3"/>
      <c r="V214" s="3"/>
      <c r="W214" s="3"/>
      <c r="X214" s="3"/>
    </row>
    <row r="215" spans="18:24" x14ac:dyDescent="0.25">
      <c r="R215" s="3"/>
      <c r="S215" s="3"/>
      <c r="T215" s="3"/>
      <c r="U215" s="3"/>
      <c r="V215" s="3"/>
      <c r="W215" s="3"/>
      <c r="X215" s="3"/>
    </row>
    <row r="216" spans="18:24" x14ac:dyDescent="0.25">
      <c r="R216" s="3"/>
      <c r="S216" s="3"/>
      <c r="T216" s="3"/>
      <c r="U216" s="3"/>
      <c r="V216" s="3"/>
      <c r="W216" s="3"/>
      <c r="X216" s="3"/>
    </row>
    <row r="217" spans="18:24" x14ac:dyDescent="0.25">
      <c r="R217" s="3"/>
      <c r="S217" s="3"/>
      <c r="T217" s="3"/>
      <c r="U217" s="3"/>
      <c r="V217" s="3"/>
      <c r="W217" s="3"/>
      <c r="X217" s="3"/>
    </row>
    <row r="218" spans="18:24" x14ac:dyDescent="0.25">
      <c r="R218" s="3"/>
      <c r="S218" s="3"/>
      <c r="T218" s="3"/>
      <c r="U218" s="3"/>
      <c r="V218" s="3"/>
      <c r="W218" s="3"/>
      <c r="X218" s="3"/>
    </row>
    <row r="219" spans="18:24" x14ac:dyDescent="0.25">
      <c r="R219" s="3"/>
      <c r="S219" s="3"/>
      <c r="T219" s="3"/>
      <c r="U219" s="3"/>
      <c r="V219" s="3"/>
      <c r="W219" s="3"/>
      <c r="X219" s="3"/>
    </row>
    <row r="220" spans="18:24" x14ac:dyDescent="0.25">
      <c r="R220" s="3"/>
      <c r="S220" s="3"/>
      <c r="T220" s="3"/>
      <c r="U220" s="3"/>
      <c r="V220" s="3"/>
      <c r="W220" s="3"/>
      <c r="X220" s="3"/>
    </row>
    <row r="221" spans="18:24" x14ac:dyDescent="0.25">
      <c r="R221" s="3"/>
      <c r="S221" s="3"/>
      <c r="T221" s="3"/>
      <c r="U221" s="3"/>
      <c r="V221" s="3"/>
      <c r="W221" s="3"/>
      <c r="X221" s="3"/>
    </row>
    <row r="222" spans="18:24" x14ac:dyDescent="0.25">
      <c r="R222" s="3"/>
      <c r="S222" s="3"/>
      <c r="T222" s="3"/>
      <c r="U222" s="3"/>
      <c r="V222" s="3"/>
      <c r="W222" s="3"/>
      <c r="X222" s="3"/>
    </row>
    <row r="223" spans="18:24" x14ac:dyDescent="0.25">
      <c r="R223" s="3"/>
      <c r="S223" s="3"/>
      <c r="T223" s="3"/>
      <c r="U223" s="3"/>
      <c r="V223" s="3"/>
      <c r="W223" s="3"/>
      <c r="X223" s="3"/>
    </row>
    <row r="224" spans="18:24" x14ac:dyDescent="0.25">
      <c r="R224" s="3"/>
      <c r="S224" s="3"/>
      <c r="T224" s="3"/>
      <c r="U224" s="3"/>
      <c r="V224" s="3"/>
      <c r="W224" s="3"/>
      <c r="X224" s="3"/>
    </row>
    <row r="225" spans="18:24" x14ac:dyDescent="0.25">
      <c r="R225" s="3"/>
      <c r="S225" s="3"/>
      <c r="T225" s="3"/>
      <c r="U225" s="3"/>
      <c r="V225" s="3"/>
      <c r="W225" s="3"/>
      <c r="X225" s="3"/>
    </row>
    <row r="226" spans="18:24" x14ac:dyDescent="0.25">
      <c r="R226" s="3"/>
      <c r="S226" s="3"/>
      <c r="T226" s="3"/>
      <c r="U226" s="3"/>
      <c r="V226" s="3"/>
      <c r="W226" s="3"/>
      <c r="X226" s="3"/>
    </row>
    <row r="227" spans="18:24" x14ac:dyDescent="0.25">
      <c r="R227" s="3"/>
      <c r="S227" s="3"/>
      <c r="T227" s="3"/>
      <c r="U227" s="3"/>
      <c r="V227" s="3"/>
      <c r="W227" s="3"/>
      <c r="X227" s="3"/>
    </row>
    <row r="228" spans="18:24" x14ac:dyDescent="0.25">
      <c r="R228" s="3"/>
      <c r="S228" s="3"/>
      <c r="T228" s="3"/>
      <c r="U228" s="3"/>
      <c r="V228" s="3"/>
      <c r="W228" s="3"/>
      <c r="X228" s="3"/>
    </row>
    <row r="229" spans="18:24" x14ac:dyDescent="0.25">
      <c r="R229" s="3"/>
      <c r="S229" s="3"/>
      <c r="T229" s="3"/>
      <c r="U229" s="3"/>
      <c r="V229" s="3"/>
      <c r="W229" s="3"/>
      <c r="X229" s="3"/>
    </row>
    <row r="230" spans="18:24" x14ac:dyDescent="0.25">
      <c r="R230" s="3"/>
      <c r="S230" s="3"/>
      <c r="T230" s="3"/>
      <c r="U230" s="3"/>
      <c r="V230" s="3"/>
      <c r="W230" s="3"/>
      <c r="X230" s="3"/>
    </row>
    <row r="231" spans="18:24" x14ac:dyDescent="0.25">
      <c r="R231" s="3"/>
      <c r="S231" s="3"/>
      <c r="T231" s="3"/>
      <c r="U231" s="3"/>
      <c r="V231" s="3"/>
      <c r="W231" s="3"/>
      <c r="X231" s="3"/>
    </row>
    <row r="232" spans="18:24" x14ac:dyDescent="0.25">
      <c r="R232" s="3"/>
      <c r="S232" s="3"/>
      <c r="T232" s="3"/>
      <c r="U232" s="3"/>
      <c r="V232" s="3"/>
      <c r="W232" s="3"/>
      <c r="X232" s="3"/>
    </row>
    <row r="233" spans="18:24" x14ac:dyDescent="0.25">
      <c r="R233" s="3"/>
      <c r="S233" s="3"/>
      <c r="T233" s="3"/>
      <c r="U233" s="3"/>
      <c r="V233" s="3"/>
      <c r="W233" s="3"/>
      <c r="X233" s="3"/>
    </row>
    <row r="234" spans="18:24" x14ac:dyDescent="0.25">
      <c r="R234" s="3"/>
      <c r="S234" s="3"/>
      <c r="T234" s="3"/>
      <c r="U234" s="3"/>
      <c r="V234" s="3"/>
      <c r="W234" s="3"/>
      <c r="X234" s="3"/>
    </row>
    <row r="235" spans="18:24" x14ac:dyDescent="0.25">
      <c r="R235" s="3"/>
      <c r="S235" s="3"/>
      <c r="T235" s="3"/>
      <c r="U235" s="3"/>
      <c r="V235" s="3"/>
      <c r="W235" s="3"/>
      <c r="X235" s="3"/>
    </row>
    <row r="236" spans="18:24" x14ac:dyDescent="0.25">
      <c r="R236" s="3"/>
      <c r="S236" s="3"/>
      <c r="T236" s="3"/>
      <c r="U236" s="3"/>
      <c r="V236" s="3"/>
      <c r="W236" s="3"/>
      <c r="X236" s="3"/>
    </row>
    <row r="237" spans="18:24" x14ac:dyDescent="0.25">
      <c r="R237" s="3"/>
      <c r="S237" s="3"/>
      <c r="T237" s="3"/>
      <c r="U237" s="3"/>
      <c r="V237" s="3"/>
      <c r="W237" s="3"/>
      <c r="X237" s="3"/>
    </row>
    <row r="238" spans="18:24" x14ac:dyDescent="0.25">
      <c r="S238" s="3"/>
      <c r="T238" s="3"/>
      <c r="U238" s="3"/>
      <c r="V238" s="3"/>
      <c r="W238" s="3"/>
      <c r="X238" s="3"/>
    </row>
    <row r="239" spans="18:24" x14ac:dyDescent="0.25">
      <c r="S239" s="3"/>
      <c r="T239" s="3"/>
      <c r="U239" s="3"/>
      <c r="V239" s="3"/>
      <c r="W239" s="3"/>
      <c r="X239" s="3"/>
    </row>
    <row r="240" spans="18:24" x14ac:dyDescent="0.25">
      <c r="S240" s="3"/>
      <c r="T240" s="3"/>
      <c r="U240" s="3"/>
      <c r="V240" s="3"/>
      <c r="W240" s="3"/>
      <c r="X240" s="3"/>
    </row>
    <row r="241" spans="19:24" x14ac:dyDescent="0.25">
      <c r="S241" s="3"/>
      <c r="T241" s="3"/>
      <c r="U241" s="3"/>
      <c r="V241" s="3"/>
      <c r="W241" s="3"/>
      <c r="X241" s="3"/>
    </row>
    <row r="242" spans="19:24" x14ac:dyDescent="0.25">
      <c r="S242" s="3"/>
      <c r="T242" s="3"/>
      <c r="U242" s="3"/>
      <c r="V242" s="3"/>
      <c r="W242" s="3"/>
      <c r="X242" s="3"/>
    </row>
    <row r="243" spans="19:24" x14ac:dyDescent="0.25">
      <c r="S243" s="3"/>
      <c r="T243" s="3"/>
      <c r="U243" s="3"/>
      <c r="V243" s="3"/>
      <c r="W243" s="3"/>
      <c r="X243" s="3"/>
    </row>
    <row r="244" spans="19:24" x14ac:dyDescent="0.25">
      <c r="S244" s="3"/>
      <c r="T244" s="3"/>
      <c r="U244" s="3"/>
      <c r="V244" s="3"/>
      <c r="W244" s="3"/>
      <c r="X244" s="3"/>
    </row>
    <row r="245" spans="19:24" x14ac:dyDescent="0.25">
      <c r="S245" s="3"/>
      <c r="T245" s="3"/>
      <c r="U245" s="3"/>
      <c r="V245" s="3"/>
      <c r="W245" s="3"/>
      <c r="X245" s="3"/>
    </row>
    <row r="246" spans="19:24" x14ac:dyDescent="0.25">
      <c r="S246" s="3"/>
      <c r="T246" s="3"/>
      <c r="U246" s="3"/>
      <c r="V246" s="3"/>
      <c r="W246" s="3"/>
      <c r="X246" s="3"/>
    </row>
  </sheetData>
  <mergeCells count="14">
    <mergeCell ref="B6:G6"/>
    <mergeCell ref="Q2:AC2"/>
    <mergeCell ref="Q3:AC3"/>
    <mergeCell ref="B2:N2"/>
    <mergeCell ref="B51:G51"/>
    <mergeCell ref="B25:G25"/>
    <mergeCell ref="B12:G12"/>
    <mergeCell ref="B3:N3"/>
    <mergeCell ref="B4:N4"/>
    <mergeCell ref="I51:N51"/>
    <mergeCell ref="I38:N38"/>
    <mergeCell ref="I25:N25"/>
    <mergeCell ref="I12:N12"/>
    <mergeCell ref="B38:C38"/>
  </mergeCells>
  <phoneticPr fontId="1" type="noConversion"/>
  <pageMargins left="0.39370078740157483" right="0.39370078740157483" top="0.39370078740157483" bottom="0.39370078740157483" header="0.39370078740157483" footer="0.39370078740157483"/>
  <pageSetup paperSize="9" scale="50" orientation="portrait" horizontalDpi="300" verticalDpi="300" r:id="rId1"/>
  <customProperties>
    <customPr name="DVSECTIONID" r:id="rId2"/>
  </customProperties>
  <ignoredErrors>
    <ignoredError sqref="D29:E29 K29:M29 F29:G29 N29 K30:N3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51"/>
  <sheetViews>
    <sheetView tabSelected="1" topLeftCell="A39" zoomScaleNormal="100" workbookViewId="0">
      <selection activeCell="E56" sqref="E56"/>
    </sheetView>
  </sheetViews>
  <sheetFormatPr defaultColWidth="8.75" defaultRowHeight="12.75" x14ac:dyDescent="0.2"/>
  <cols>
    <col min="1" max="1" width="8.75" style="23"/>
    <col min="2" max="2" width="10.375" style="23" bestFit="1" customWidth="1"/>
    <col min="3" max="3" width="50.25" style="23" bestFit="1" customWidth="1"/>
    <col min="4" max="6" width="3.25" style="23" customWidth="1"/>
    <col min="7" max="7" width="4.875" style="23" customWidth="1"/>
    <col min="8" max="8" width="19.125" style="23" bestFit="1" customWidth="1"/>
    <col min="9" max="9" width="9.75" style="23" bestFit="1" customWidth="1"/>
    <col min="10" max="10" width="34" style="23" bestFit="1" customWidth="1"/>
    <col min="11" max="11" width="3.75" style="23" customWidth="1"/>
    <col min="12" max="12" width="3.875" style="23" customWidth="1"/>
    <col min="13" max="13" width="4.25" style="23" customWidth="1"/>
    <col min="14" max="14" width="4.75" style="23" bestFit="1" customWidth="1"/>
    <col min="15" max="16" width="8.75" style="23"/>
    <col min="17" max="17" width="6.875" style="23" customWidth="1"/>
    <col min="18" max="19" width="3.375" style="23" customWidth="1"/>
    <col min="20" max="21" width="3.125" style="23" customWidth="1"/>
    <col min="22" max="16384" width="8.75" style="23"/>
  </cols>
  <sheetData>
    <row r="1" spans="2:15" x14ac:dyDescent="0.2"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2:15" x14ac:dyDescent="0.2">
      <c r="J2" s="24"/>
      <c r="K2" s="24"/>
      <c r="L2" s="24"/>
      <c r="M2" s="24"/>
      <c r="N2" s="24"/>
      <c r="O2" s="24"/>
    </row>
    <row r="3" spans="2:15" ht="15.6" customHeight="1" x14ac:dyDescent="0.2">
      <c r="B3" s="35" t="s">
        <v>212</v>
      </c>
      <c r="C3" s="36"/>
      <c r="D3" s="36"/>
      <c r="E3" s="36"/>
      <c r="F3" s="36"/>
      <c r="G3" s="37"/>
      <c r="H3" s="24"/>
      <c r="I3" s="24"/>
      <c r="J3" s="24"/>
      <c r="K3" s="24"/>
      <c r="L3" s="24"/>
      <c r="M3" s="24"/>
      <c r="N3" s="24"/>
      <c r="O3" s="24"/>
    </row>
    <row r="4" spans="2:15" x14ac:dyDescent="0.2">
      <c r="B4" s="47" t="s">
        <v>117</v>
      </c>
      <c r="C4" s="47" t="s">
        <v>118</v>
      </c>
      <c r="D4" s="25" t="s">
        <v>0</v>
      </c>
      <c r="E4" s="25" t="s">
        <v>114</v>
      </c>
      <c r="F4" s="25" t="s">
        <v>115</v>
      </c>
      <c r="G4" s="25" t="s">
        <v>116</v>
      </c>
    </row>
    <row r="5" spans="2:15" x14ac:dyDescent="0.2">
      <c r="B5" s="18" t="s">
        <v>27</v>
      </c>
      <c r="C5" s="18" t="s">
        <v>154</v>
      </c>
      <c r="D5" s="20">
        <v>3</v>
      </c>
      <c r="E5" s="20" t="s">
        <v>8</v>
      </c>
      <c r="F5" s="20">
        <v>3</v>
      </c>
      <c r="G5" s="20">
        <v>4</v>
      </c>
    </row>
    <row r="6" spans="2:15" x14ac:dyDescent="0.2">
      <c r="B6" s="18" t="s">
        <v>28</v>
      </c>
      <c r="C6" s="18" t="s">
        <v>155</v>
      </c>
      <c r="D6" s="20">
        <v>3</v>
      </c>
      <c r="E6" s="20" t="s">
        <v>8</v>
      </c>
      <c r="F6" s="20">
        <v>3</v>
      </c>
      <c r="G6" s="20">
        <v>4</v>
      </c>
    </row>
    <row r="7" spans="2:15" x14ac:dyDescent="0.2">
      <c r="B7" s="18" t="s">
        <v>29</v>
      </c>
      <c r="C7" s="18" t="s">
        <v>156</v>
      </c>
      <c r="D7" s="20">
        <v>1</v>
      </c>
      <c r="E7" s="20">
        <v>2</v>
      </c>
      <c r="F7" s="20">
        <v>2</v>
      </c>
      <c r="G7" s="20">
        <v>4</v>
      </c>
    </row>
    <row r="8" spans="2:15" x14ac:dyDescent="0.2">
      <c r="B8" s="18" t="s">
        <v>30</v>
      </c>
      <c r="C8" s="18" t="s">
        <v>157</v>
      </c>
      <c r="D8" s="20">
        <v>1</v>
      </c>
      <c r="E8" s="20">
        <v>2</v>
      </c>
      <c r="F8" s="20">
        <v>2</v>
      </c>
      <c r="G8" s="20">
        <v>4</v>
      </c>
    </row>
    <row r="9" spans="2:15" x14ac:dyDescent="0.2">
      <c r="B9" s="18" t="s">
        <v>31</v>
      </c>
      <c r="C9" s="18" t="s">
        <v>158</v>
      </c>
      <c r="D9" s="20">
        <v>1</v>
      </c>
      <c r="E9" s="20">
        <v>2</v>
      </c>
      <c r="F9" s="20">
        <v>2</v>
      </c>
      <c r="G9" s="20">
        <v>4</v>
      </c>
    </row>
    <row r="10" spans="2:15" x14ac:dyDescent="0.2">
      <c r="B10" s="18" t="s">
        <v>32</v>
      </c>
      <c r="C10" s="18" t="s">
        <v>159</v>
      </c>
      <c r="D10" s="20">
        <v>3</v>
      </c>
      <c r="E10" s="20" t="s">
        <v>8</v>
      </c>
      <c r="F10" s="20">
        <v>3</v>
      </c>
      <c r="G10" s="20">
        <v>4</v>
      </c>
    </row>
    <row r="11" spans="2:15" x14ac:dyDescent="0.2">
      <c r="B11" s="18" t="s">
        <v>33</v>
      </c>
      <c r="C11" s="18" t="s">
        <v>160</v>
      </c>
      <c r="D11" s="20">
        <v>3</v>
      </c>
      <c r="E11" s="20" t="s">
        <v>8</v>
      </c>
      <c r="F11" s="20">
        <v>3</v>
      </c>
      <c r="G11" s="20">
        <v>4</v>
      </c>
    </row>
    <row r="12" spans="2:15" x14ac:dyDescent="0.2">
      <c r="B12" s="18" t="s">
        <v>34</v>
      </c>
      <c r="C12" s="18" t="s">
        <v>161</v>
      </c>
      <c r="D12" s="20">
        <v>3</v>
      </c>
      <c r="E12" s="20" t="s">
        <v>8</v>
      </c>
      <c r="F12" s="20">
        <v>3</v>
      </c>
      <c r="G12" s="20">
        <v>4</v>
      </c>
    </row>
    <row r="13" spans="2:15" x14ac:dyDescent="0.2">
      <c r="B13" s="18" t="s">
        <v>35</v>
      </c>
      <c r="C13" s="18" t="s">
        <v>162</v>
      </c>
      <c r="D13" s="20">
        <v>3</v>
      </c>
      <c r="E13" s="20" t="s">
        <v>8</v>
      </c>
      <c r="F13" s="20">
        <v>3</v>
      </c>
      <c r="G13" s="20">
        <v>4</v>
      </c>
    </row>
    <row r="14" spans="2:15" x14ac:dyDescent="0.2">
      <c r="B14" s="18" t="s">
        <v>36</v>
      </c>
      <c r="C14" s="18" t="s">
        <v>163</v>
      </c>
      <c r="D14" s="20">
        <v>3</v>
      </c>
      <c r="E14" s="20" t="s">
        <v>8</v>
      </c>
      <c r="F14" s="20">
        <v>3</v>
      </c>
      <c r="G14" s="20">
        <v>4</v>
      </c>
    </row>
    <row r="15" spans="2:15" x14ac:dyDescent="0.2">
      <c r="B15" s="18" t="s">
        <v>37</v>
      </c>
      <c r="C15" s="18" t="s">
        <v>164</v>
      </c>
      <c r="D15" s="20">
        <v>1</v>
      </c>
      <c r="E15" s="20">
        <v>2</v>
      </c>
      <c r="F15" s="20">
        <v>2</v>
      </c>
      <c r="G15" s="20">
        <v>4</v>
      </c>
    </row>
    <row r="16" spans="2:15" x14ac:dyDescent="0.2">
      <c r="B16" s="18" t="s">
        <v>38</v>
      </c>
      <c r="C16" s="18" t="s">
        <v>165</v>
      </c>
      <c r="D16" s="20">
        <v>1</v>
      </c>
      <c r="E16" s="20">
        <v>2</v>
      </c>
      <c r="F16" s="20">
        <v>2</v>
      </c>
      <c r="G16" s="20">
        <v>4</v>
      </c>
    </row>
    <row r="17" spans="2:7" x14ac:dyDescent="0.2">
      <c r="B17" s="18" t="s">
        <v>101</v>
      </c>
      <c r="C17" s="19" t="s">
        <v>228</v>
      </c>
      <c r="D17" s="20">
        <v>1</v>
      </c>
      <c r="E17" s="20">
        <v>2</v>
      </c>
      <c r="F17" s="20">
        <v>2</v>
      </c>
      <c r="G17" s="20">
        <v>4</v>
      </c>
    </row>
    <row r="18" spans="2:7" x14ac:dyDescent="0.2">
      <c r="B18" s="18" t="s">
        <v>39</v>
      </c>
      <c r="C18" s="18" t="s">
        <v>166</v>
      </c>
      <c r="D18" s="20">
        <v>2</v>
      </c>
      <c r="E18" s="20" t="s">
        <v>8</v>
      </c>
      <c r="F18" s="20">
        <v>2</v>
      </c>
      <c r="G18" s="20">
        <v>4</v>
      </c>
    </row>
    <row r="19" spans="2:7" x14ac:dyDescent="0.2">
      <c r="B19" s="18" t="s">
        <v>40</v>
      </c>
      <c r="C19" s="18" t="s">
        <v>167</v>
      </c>
      <c r="D19" s="20">
        <v>2</v>
      </c>
      <c r="E19" s="20" t="s">
        <v>8</v>
      </c>
      <c r="F19" s="20">
        <v>2</v>
      </c>
      <c r="G19" s="20">
        <v>4</v>
      </c>
    </row>
    <row r="20" spans="2:7" x14ac:dyDescent="0.2">
      <c r="B20" s="18" t="s">
        <v>41</v>
      </c>
      <c r="C20" s="18" t="s">
        <v>168</v>
      </c>
      <c r="D20" s="20">
        <v>2</v>
      </c>
      <c r="E20" s="20" t="s">
        <v>8</v>
      </c>
      <c r="F20" s="20">
        <v>2</v>
      </c>
      <c r="G20" s="20">
        <v>4</v>
      </c>
    </row>
    <row r="21" spans="2:7" x14ac:dyDescent="0.2">
      <c r="B21" s="18" t="s">
        <v>42</v>
      </c>
      <c r="C21" s="18" t="s">
        <v>169</v>
      </c>
      <c r="D21" s="20">
        <v>2</v>
      </c>
      <c r="E21" s="20" t="s">
        <v>8</v>
      </c>
      <c r="F21" s="20">
        <v>2</v>
      </c>
      <c r="G21" s="20">
        <v>4</v>
      </c>
    </row>
    <row r="22" spans="2:7" x14ac:dyDescent="0.2">
      <c r="B22" s="18" t="s">
        <v>43</v>
      </c>
      <c r="C22" s="18" t="s">
        <v>170</v>
      </c>
      <c r="D22" s="20">
        <v>2</v>
      </c>
      <c r="E22" s="20" t="s">
        <v>8</v>
      </c>
      <c r="F22" s="20">
        <v>2</v>
      </c>
      <c r="G22" s="20">
        <v>4</v>
      </c>
    </row>
    <row r="23" spans="2:7" x14ac:dyDescent="0.2">
      <c r="B23" s="18" t="s">
        <v>44</v>
      </c>
      <c r="C23" s="18" t="s">
        <v>171</v>
      </c>
      <c r="D23" s="20">
        <v>2</v>
      </c>
      <c r="E23" s="20" t="s">
        <v>8</v>
      </c>
      <c r="F23" s="20">
        <v>2</v>
      </c>
      <c r="G23" s="20">
        <v>4</v>
      </c>
    </row>
    <row r="24" spans="2:7" x14ac:dyDescent="0.2">
      <c r="B24" s="18" t="s">
        <v>45</v>
      </c>
      <c r="C24" s="18" t="s">
        <v>172</v>
      </c>
      <c r="D24" s="20">
        <v>2</v>
      </c>
      <c r="E24" s="20" t="s">
        <v>8</v>
      </c>
      <c r="F24" s="20">
        <v>2</v>
      </c>
      <c r="G24" s="20">
        <v>4</v>
      </c>
    </row>
    <row r="25" spans="2:7" x14ac:dyDescent="0.2">
      <c r="B25" s="18" t="s">
        <v>46</v>
      </c>
      <c r="C25" s="18" t="s">
        <v>173</v>
      </c>
      <c r="D25" s="20">
        <v>2</v>
      </c>
      <c r="E25" s="20">
        <v>2</v>
      </c>
      <c r="F25" s="20">
        <v>3</v>
      </c>
      <c r="G25" s="20">
        <v>4</v>
      </c>
    </row>
    <row r="26" spans="2:7" x14ac:dyDescent="0.2">
      <c r="B26" s="18" t="s">
        <v>47</v>
      </c>
      <c r="C26" s="19" t="s">
        <v>197</v>
      </c>
      <c r="D26" s="20">
        <v>2</v>
      </c>
      <c r="E26" s="20">
        <v>2</v>
      </c>
      <c r="F26" s="20">
        <v>3</v>
      </c>
      <c r="G26" s="20">
        <v>4</v>
      </c>
    </row>
    <row r="27" spans="2:7" x14ac:dyDescent="0.2">
      <c r="B27" s="18" t="s">
        <v>48</v>
      </c>
      <c r="C27" s="18" t="s">
        <v>174</v>
      </c>
      <c r="D27" s="20">
        <v>2</v>
      </c>
      <c r="E27" s="20">
        <v>2</v>
      </c>
      <c r="F27" s="20">
        <v>3</v>
      </c>
      <c r="G27" s="20">
        <v>4</v>
      </c>
    </row>
    <row r="28" spans="2:7" x14ac:dyDescent="0.2">
      <c r="B28" s="18" t="s">
        <v>49</v>
      </c>
      <c r="C28" s="18" t="s">
        <v>175</v>
      </c>
      <c r="D28" s="20">
        <v>2</v>
      </c>
      <c r="E28" s="20">
        <v>2</v>
      </c>
      <c r="F28" s="20">
        <v>3</v>
      </c>
      <c r="G28" s="20">
        <v>4</v>
      </c>
    </row>
    <row r="29" spans="2:7" x14ac:dyDescent="0.2">
      <c r="B29" s="18" t="s">
        <v>50</v>
      </c>
      <c r="C29" s="18" t="s">
        <v>176</v>
      </c>
      <c r="D29" s="20">
        <v>2</v>
      </c>
      <c r="E29" s="20">
        <v>2</v>
      </c>
      <c r="F29" s="20">
        <v>3</v>
      </c>
      <c r="G29" s="20">
        <v>4</v>
      </c>
    </row>
    <row r="30" spans="2:7" x14ac:dyDescent="0.2">
      <c r="B30" s="18" t="s">
        <v>51</v>
      </c>
      <c r="C30" s="18" t="s">
        <v>177</v>
      </c>
      <c r="D30" s="20">
        <v>3</v>
      </c>
      <c r="E30" s="20" t="s">
        <v>8</v>
      </c>
      <c r="F30" s="20">
        <v>3</v>
      </c>
      <c r="G30" s="20">
        <v>4</v>
      </c>
    </row>
    <row r="31" spans="2:7" x14ac:dyDescent="0.2">
      <c r="B31" s="18" t="s">
        <v>52</v>
      </c>
      <c r="C31" s="18" t="s">
        <v>178</v>
      </c>
      <c r="D31" s="20">
        <v>3</v>
      </c>
      <c r="E31" s="20" t="s">
        <v>8</v>
      </c>
      <c r="F31" s="20">
        <v>3</v>
      </c>
      <c r="G31" s="20">
        <v>4</v>
      </c>
    </row>
    <row r="32" spans="2:7" x14ac:dyDescent="0.2">
      <c r="B32" s="18" t="s">
        <v>53</v>
      </c>
      <c r="C32" s="18" t="s">
        <v>179</v>
      </c>
      <c r="D32" s="20">
        <v>3</v>
      </c>
      <c r="E32" s="20" t="s">
        <v>8</v>
      </c>
      <c r="F32" s="20">
        <v>3</v>
      </c>
      <c r="G32" s="20">
        <v>4</v>
      </c>
    </row>
    <row r="33" spans="2:16" x14ac:dyDescent="0.2">
      <c r="B33" s="18" t="s">
        <v>54</v>
      </c>
      <c r="C33" s="18" t="s">
        <v>180</v>
      </c>
      <c r="D33" s="20">
        <v>3</v>
      </c>
      <c r="E33" s="20" t="s">
        <v>8</v>
      </c>
      <c r="F33" s="20">
        <v>3</v>
      </c>
      <c r="G33" s="20">
        <v>4</v>
      </c>
    </row>
    <row r="34" spans="2:16" x14ac:dyDescent="0.2">
      <c r="B34" s="18" t="s">
        <v>55</v>
      </c>
      <c r="C34" s="18" t="s">
        <v>181</v>
      </c>
      <c r="D34" s="20">
        <v>1</v>
      </c>
      <c r="E34" s="20">
        <v>2</v>
      </c>
      <c r="F34" s="20">
        <v>2</v>
      </c>
      <c r="G34" s="20">
        <v>4</v>
      </c>
    </row>
    <row r="35" spans="2:16" x14ac:dyDescent="0.2">
      <c r="B35" s="18" t="s">
        <v>56</v>
      </c>
      <c r="C35" s="18" t="s">
        <v>182</v>
      </c>
      <c r="D35" s="20">
        <v>2</v>
      </c>
      <c r="E35" s="20" t="s">
        <v>8</v>
      </c>
      <c r="F35" s="20">
        <v>2</v>
      </c>
      <c r="G35" s="20">
        <v>4</v>
      </c>
    </row>
    <row r="36" spans="2:16" x14ac:dyDescent="0.2">
      <c r="B36" s="18" t="s">
        <v>57</v>
      </c>
      <c r="C36" s="18" t="s">
        <v>183</v>
      </c>
      <c r="D36" s="20">
        <v>2</v>
      </c>
      <c r="E36" s="20" t="s">
        <v>8</v>
      </c>
      <c r="F36" s="20">
        <v>2</v>
      </c>
      <c r="G36" s="20">
        <v>4</v>
      </c>
    </row>
    <row r="37" spans="2:16" x14ac:dyDescent="0.2">
      <c r="B37" s="18" t="s">
        <v>58</v>
      </c>
      <c r="C37" s="18" t="s">
        <v>184</v>
      </c>
      <c r="D37" s="20">
        <v>2</v>
      </c>
      <c r="E37" s="20" t="s">
        <v>8</v>
      </c>
      <c r="F37" s="20">
        <v>2</v>
      </c>
      <c r="G37" s="20">
        <v>4</v>
      </c>
    </row>
    <row r="38" spans="2:16" x14ac:dyDescent="0.2">
      <c r="B38" s="18" t="s">
        <v>59</v>
      </c>
      <c r="C38" s="18" t="s">
        <v>185</v>
      </c>
      <c r="D38" s="20">
        <v>2</v>
      </c>
      <c r="E38" s="20" t="s">
        <v>8</v>
      </c>
      <c r="F38" s="20">
        <v>2</v>
      </c>
      <c r="G38" s="20">
        <v>4</v>
      </c>
    </row>
    <row r="39" spans="2:16" x14ac:dyDescent="0.2">
      <c r="B39" s="18" t="s">
        <v>60</v>
      </c>
      <c r="C39" s="18" t="s">
        <v>186</v>
      </c>
      <c r="D39" s="20">
        <v>2</v>
      </c>
      <c r="E39" s="20" t="s">
        <v>8</v>
      </c>
      <c r="F39" s="20">
        <v>2</v>
      </c>
      <c r="G39" s="20">
        <v>4</v>
      </c>
    </row>
    <row r="40" spans="2:16" x14ac:dyDescent="0.2">
      <c r="B40" s="18" t="s">
        <v>61</v>
      </c>
      <c r="C40" s="18" t="s">
        <v>187</v>
      </c>
      <c r="D40" s="20">
        <v>2</v>
      </c>
      <c r="E40" s="20" t="s">
        <v>8</v>
      </c>
      <c r="F40" s="20">
        <v>2</v>
      </c>
      <c r="G40" s="20">
        <v>4</v>
      </c>
    </row>
    <row r="41" spans="2:16" x14ac:dyDescent="0.2">
      <c r="B41" s="18" t="s">
        <v>62</v>
      </c>
      <c r="C41" s="18" t="s">
        <v>188</v>
      </c>
      <c r="D41" s="20">
        <v>2</v>
      </c>
      <c r="E41" s="20" t="s">
        <v>8</v>
      </c>
      <c r="F41" s="20">
        <v>2</v>
      </c>
      <c r="G41" s="20">
        <v>4</v>
      </c>
    </row>
    <row r="42" spans="2:16" x14ac:dyDescent="0.2">
      <c r="B42" s="18" t="s">
        <v>63</v>
      </c>
      <c r="C42" s="18" t="s">
        <v>189</v>
      </c>
      <c r="D42" s="20">
        <v>2</v>
      </c>
      <c r="E42" s="20" t="s">
        <v>8</v>
      </c>
      <c r="F42" s="20">
        <v>2</v>
      </c>
      <c r="G42" s="20">
        <v>4</v>
      </c>
    </row>
    <row r="43" spans="2:16" x14ac:dyDescent="0.2">
      <c r="B43" s="18" t="s">
        <v>64</v>
      </c>
      <c r="C43" s="18" t="s">
        <v>190</v>
      </c>
      <c r="D43" s="20">
        <v>2</v>
      </c>
      <c r="E43" s="20" t="s">
        <v>8</v>
      </c>
      <c r="F43" s="20">
        <v>2</v>
      </c>
      <c r="G43" s="20">
        <v>4</v>
      </c>
    </row>
    <row r="44" spans="2:16" x14ac:dyDescent="0.2">
      <c r="B44" s="18" t="s">
        <v>65</v>
      </c>
      <c r="C44" s="18" t="s">
        <v>191</v>
      </c>
      <c r="D44" s="20">
        <v>2</v>
      </c>
      <c r="E44" s="20" t="s">
        <v>8</v>
      </c>
      <c r="F44" s="20">
        <v>2</v>
      </c>
      <c r="G44" s="20">
        <v>4</v>
      </c>
    </row>
    <row r="45" spans="2:16" x14ac:dyDescent="0.2">
      <c r="B45" s="18" t="s">
        <v>66</v>
      </c>
      <c r="C45" s="18" t="s">
        <v>192</v>
      </c>
      <c r="D45" s="20">
        <v>2</v>
      </c>
      <c r="E45" s="20">
        <v>2</v>
      </c>
      <c r="F45" s="20">
        <v>3</v>
      </c>
      <c r="G45" s="20">
        <v>4</v>
      </c>
    </row>
    <row r="46" spans="2:16" x14ac:dyDescent="0.2">
      <c r="B46" s="18" t="s">
        <v>67</v>
      </c>
      <c r="C46" s="18" t="s">
        <v>152</v>
      </c>
      <c r="D46" s="20">
        <v>2</v>
      </c>
      <c r="E46" s="20">
        <v>2</v>
      </c>
      <c r="F46" s="20">
        <v>3</v>
      </c>
      <c r="G46" s="20">
        <v>4</v>
      </c>
    </row>
    <row r="47" spans="2:16" x14ac:dyDescent="0.2">
      <c r="B47" s="18" t="s">
        <v>68</v>
      </c>
      <c r="C47" s="18" t="s">
        <v>194</v>
      </c>
      <c r="D47" s="20">
        <v>2</v>
      </c>
      <c r="E47" s="20">
        <v>2</v>
      </c>
      <c r="F47" s="20">
        <v>3</v>
      </c>
      <c r="G47" s="20">
        <v>4</v>
      </c>
      <c r="P47" s="23" t="s">
        <v>98</v>
      </c>
    </row>
    <row r="48" spans="2:16" x14ac:dyDescent="0.2">
      <c r="B48" s="21" t="s">
        <v>69</v>
      </c>
      <c r="C48" s="18" t="s">
        <v>195</v>
      </c>
      <c r="D48" s="22">
        <v>2</v>
      </c>
      <c r="E48" s="22">
        <v>2</v>
      </c>
      <c r="F48" s="22">
        <v>3</v>
      </c>
      <c r="G48" s="22">
        <v>4</v>
      </c>
    </row>
    <row r="49" spans="2:7" x14ac:dyDescent="0.2">
      <c r="B49" s="21" t="s">
        <v>88</v>
      </c>
      <c r="C49" s="18" t="s">
        <v>196</v>
      </c>
      <c r="D49" s="22">
        <v>2</v>
      </c>
      <c r="E49" s="22">
        <v>2</v>
      </c>
      <c r="F49" s="22">
        <v>3</v>
      </c>
      <c r="G49" s="22">
        <v>4</v>
      </c>
    </row>
    <row r="50" spans="2:7" x14ac:dyDescent="0.2">
      <c r="B50" s="18" t="s">
        <v>99</v>
      </c>
      <c r="C50" s="18" t="s">
        <v>193</v>
      </c>
      <c r="D50" s="20">
        <v>2</v>
      </c>
      <c r="E50" s="20">
        <v>2</v>
      </c>
      <c r="F50" s="20">
        <v>3</v>
      </c>
      <c r="G50" s="20">
        <v>4</v>
      </c>
    </row>
    <row r="51" spans="2:7" x14ac:dyDescent="0.2">
      <c r="B51" s="18" t="s">
        <v>100</v>
      </c>
      <c r="C51" s="19" t="s">
        <v>229</v>
      </c>
      <c r="D51" s="20">
        <v>2</v>
      </c>
      <c r="E51" s="20">
        <v>2</v>
      </c>
      <c r="F51" s="20">
        <v>3</v>
      </c>
      <c r="G51" s="20">
        <v>4</v>
      </c>
    </row>
  </sheetData>
  <mergeCells count="2">
    <mergeCell ref="C1:O1"/>
    <mergeCell ref="B3:G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5" orientation="portrait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ZORUNLU</vt:lpstr>
      <vt:lpstr>SEÇMELİ</vt:lpstr>
      <vt:lpstr>SEÇMELİ!Print_Area</vt:lpstr>
      <vt:lpstr>ZORUNLU!Print_Area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gul</dc:creator>
  <cp:lastModifiedBy>Nehir Bera Bicer</cp:lastModifiedBy>
  <cp:lastPrinted>2019-07-08T05:52:51Z</cp:lastPrinted>
  <dcterms:created xsi:type="dcterms:W3CDTF">2012-10-18T06:16:57Z</dcterms:created>
  <dcterms:modified xsi:type="dcterms:W3CDTF">2019-09-06T16:15:48Z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10OPtdvxt9qEyezdU-U_5c2S-j3SPq5w7k3ye08aX-XA</vt:lpwstr>
  </property>
  <property fmtid="{D5CDD505-2E9C-101B-9397-08002B2CF9AE}" pid="4" name="Google.Documents.RevisionId">
    <vt:lpwstr>11239204762026991652</vt:lpwstr>
  </property>
  <property fmtid="{D5CDD505-2E9C-101B-9397-08002B2CF9AE}" pid="5" name="Google.Documents.PreviousRevisionId">
    <vt:lpwstr>16064378407667006989</vt:lpwstr>
  </property>
  <property fmtid="{D5CDD505-2E9C-101B-9397-08002B2CF9AE}" pid="6" name="Google.Documents.PluginVersion">
    <vt:lpwstr>2.0.2662.553</vt:lpwstr>
  </property>
  <property fmtid="{D5CDD505-2E9C-101B-9397-08002B2CF9AE}" pid="7" name="Google.Documents.MergeIncapabilityFlags">
    <vt:i4>0</vt:i4>
  </property>
</Properties>
</file>